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b213624\AppData\Roaming\cBrain\F2-Work\Temp\1191766\"/>
    </mc:Choice>
  </mc:AlternateContent>
  <xr:revisionPtr revIDLastSave="0" documentId="13_ncr:1_{D3944702-BCCC-4292-81A8-F1A36ED4E438}" xr6:coauthVersionLast="36" xr6:coauthVersionMax="36" xr10:uidLastSave="{00000000-0000-0000-0000-000000000000}"/>
  <bookViews>
    <workbookView xWindow="0" yWindow="4305" windowWidth="5115" windowHeight="7515" tabRatio="836" xr2:uid="{00000000-000D-0000-FFFF-FFFF00000000}"/>
  </bookViews>
  <sheets>
    <sheet name="Budget og regnskab 2023-2024" sheetId="13" r:id="rId1"/>
    <sheet name="Drop-down" sheetId="12" r:id="rId2"/>
  </sheets>
  <calcPr calcId="191029"/>
</workbook>
</file>

<file path=xl/calcChain.xml><?xml version="1.0" encoding="utf-8"?>
<calcChain xmlns="http://schemas.openxmlformats.org/spreadsheetml/2006/main">
  <c r="C56" i="13" l="1"/>
  <c r="J32" i="13" s="1"/>
  <c r="D56" i="13"/>
  <c r="E91" i="13" l="1"/>
  <c r="C42" i="13"/>
  <c r="C139" i="13" l="1"/>
  <c r="E139" i="13" s="1"/>
  <c r="D139" i="13"/>
  <c r="G17" i="13"/>
  <c r="J17" i="13"/>
  <c r="K17" i="13"/>
  <c r="M17" i="13"/>
  <c r="J18" i="13" l="1"/>
  <c r="L18" i="13"/>
  <c r="K18" i="13"/>
  <c r="E62" i="13" l="1"/>
  <c r="C47" i="13" l="1"/>
  <c r="E74" i="13"/>
  <c r="E56" i="13" l="1"/>
  <c r="C208" i="13"/>
  <c r="D193" i="13"/>
  <c r="D178" i="13"/>
  <c r="C178" i="13"/>
  <c r="D166" i="13"/>
  <c r="C166" i="13"/>
  <c r="D158" i="13"/>
  <c r="C158" i="13"/>
  <c r="D149" i="13"/>
  <c r="C149" i="13"/>
  <c r="D47" i="13"/>
  <c r="D70" i="13"/>
  <c r="C70" i="13"/>
  <c r="E149" i="13" l="1"/>
  <c r="E178" i="13"/>
  <c r="E166" i="13"/>
  <c r="E158" i="13"/>
  <c r="E47" i="13"/>
  <c r="E70" i="13"/>
  <c r="L17" i="13"/>
  <c r="N17" i="13" s="1"/>
  <c r="O17" i="13" s="1"/>
  <c r="C193" i="13" l="1"/>
  <c r="E193" i="13" s="1"/>
  <c r="D83" i="13"/>
  <c r="L11" i="13" l="1"/>
  <c r="E102" i="13"/>
  <c r="C83" i="13"/>
  <c r="E83" i="13" s="1"/>
  <c r="E211" i="13"/>
  <c r="D208" i="13" l="1"/>
  <c r="E208" i="13" s="1"/>
  <c r="M18" i="13"/>
  <c r="F13" i="13"/>
  <c r="F18" i="13"/>
  <c r="G16" i="13" l="1"/>
  <c r="B178" i="13" s="1"/>
  <c r="J23" i="13"/>
  <c r="J28" i="13" s="1"/>
  <c r="G18" i="13"/>
  <c r="B208" i="13" s="1"/>
  <c r="B193" i="13"/>
  <c r="M16" i="13"/>
  <c r="L16" i="13"/>
  <c r="K16" i="13"/>
  <c r="J16" i="13"/>
  <c r="M15" i="13"/>
  <c r="L15" i="13"/>
  <c r="K15" i="13"/>
  <c r="J15" i="13"/>
  <c r="G15" i="13"/>
  <c r="B166" i="13" s="1"/>
  <c r="M14" i="13"/>
  <c r="L14" i="13"/>
  <c r="K14" i="13"/>
  <c r="J14" i="13"/>
  <c r="G14" i="13"/>
  <c r="B158" i="13" s="1"/>
  <c r="M13" i="13"/>
  <c r="L13" i="13"/>
  <c r="K13" i="13"/>
  <c r="J13" i="13"/>
  <c r="G13" i="13"/>
  <c r="B149" i="13" s="1"/>
  <c r="M12" i="13"/>
  <c r="L12" i="13"/>
  <c r="K12" i="13"/>
  <c r="J12" i="13"/>
  <c r="G12" i="13"/>
  <c r="B139" i="13" s="1"/>
  <c r="M11" i="13"/>
  <c r="K11" i="13"/>
  <c r="J11" i="13"/>
  <c r="G11" i="13"/>
  <c r="B83" i="13" s="1"/>
  <c r="L10" i="13"/>
  <c r="K10" i="13"/>
  <c r="J10" i="13"/>
  <c r="G10" i="13"/>
  <c r="B70" i="13" s="1"/>
  <c r="M9" i="13"/>
  <c r="L9" i="13"/>
  <c r="K9" i="13"/>
  <c r="J9" i="13"/>
  <c r="G9" i="13"/>
  <c r="B56" i="13" s="1"/>
  <c r="M8" i="13"/>
  <c r="L8" i="13"/>
  <c r="K8" i="13"/>
  <c r="J8" i="13"/>
  <c r="G8" i="13"/>
  <c r="B47" i="13" s="1"/>
  <c r="N7" i="13"/>
  <c r="O7" i="13" s="1"/>
  <c r="N18" i="13" l="1"/>
  <c r="N13" i="13"/>
  <c r="O13" i="13" s="1"/>
  <c r="N12" i="13"/>
  <c r="O12" i="13" s="1"/>
  <c r="N14" i="13"/>
  <c r="O14" i="13" s="1"/>
  <c r="N8" i="13"/>
  <c r="O8" i="13" s="1"/>
  <c r="J31" i="13"/>
  <c r="G19" i="13"/>
  <c r="C21" i="13" s="1"/>
  <c r="J27" i="13" s="1"/>
  <c r="N16" i="13"/>
  <c r="O16" i="13" s="1"/>
  <c r="N15" i="13"/>
  <c r="O15" i="13" s="1"/>
  <c r="N11" i="13"/>
  <c r="O11" i="13" s="1"/>
  <c r="N9" i="13"/>
  <c r="O9" i="13" s="1"/>
  <c r="M10" i="13"/>
  <c r="N10" i="13" s="1"/>
  <c r="O10" i="13" s="1"/>
  <c r="J35" i="13"/>
  <c r="N19" i="13" l="1"/>
  <c r="J21" i="13" s="1"/>
  <c r="J36" i="13"/>
  <c r="O19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Rune Møller Thomsen</author>
  </authors>
  <commentList>
    <comment ref="B10" authorId="0" shapeId="0" xr:uid="{68CC7528-B10E-4D4D-BF3A-1A684ADA313F}">
      <text>
        <r>
          <rPr>
            <b/>
            <sz val="9"/>
            <color indexed="81"/>
            <rFont val="Tahoma"/>
            <family val="2"/>
          </rPr>
          <t>Rune Møller Thomsen:</t>
        </r>
        <r>
          <rPr>
            <sz val="9"/>
            <color indexed="81"/>
            <rFont val="Tahoma"/>
            <family val="2"/>
          </rPr>
          <t xml:space="preserve">
200 deltagere, heraf 35 studenter/praktikanter. Egenbetaling 200/pers, 100/studenter/praktikanter</t>
        </r>
      </text>
    </comment>
    <comment ref="B11" authorId="0" shapeId="0" xr:uid="{BC294EED-D0D7-47F5-8CC9-CEA125512DDE}">
      <text>
        <r>
          <rPr>
            <b/>
            <sz val="9"/>
            <color indexed="81"/>
            <rFont val="Tahoma"/>
            <family val="2"/>
          </rPr>
          <t>Rune Møller Thomsen:</t>
        </r>
        <r>
          <rPr>
            <sz val="9"/>
            <color indexed="81"/>
            <rFont val="Tahoma"/>
            <family val="2"/>
          </rPr>
          <t xml:space="preserve">
Der forventes 100 deltagere. Egenbetaling til mad 50 kr./person.</t>
        </r>
      </text>
    </comment>
    <comment ref="B12" authorId="0" shapeId="0" xr:uid="{D38D90D5-4B0E-4014-9870-7FDD2371D758}">
      <text>
        <r>
          <rPr>
            <b/>
            <sz val="9"/>
            <color indexed="81"/>
            <rFont val="Tahoma"/>
            <family val="2"/>
          </rPr>
          <t>Rune Møller Thomsen:</t>
        </r>
        <r>
          <rPr>
            <sz val="9"/>
            <color indexed="81"/>
            <rFont val="Tahoma"/>
            <family val="2"/>
          </rPr>
          <t xml:space="preserve">
2 vinaftener, forventeligt 40 deltagere. Egenbetaling: 150 kr./pers. PF betaling: 50 kr./pers. til mad.</t>
        </r>
      </text>
    </comment>
    <comment ref="B30" authorId="0" shapeId="0" xr:uid="{5304B5AA-FF46-4B14-9EB0-B48A43150698}">
      <text>
        <r>
          <rPr>
            <b/>
            <sz val="9"/>
            <color indexed="81"/>
            <rFont val="Tahoma"/>
            <family val="2"/>
          </rPr>
          <t>Rune Møller Thomsen:</t>
        </r>
        <r>
          <rPr>
            <sz val="9"/>
            <color indexed="81"/>
            <rFont val="Tahoma"/>
            <family val="2"/>
          </rPr>
          <t xml:space="preserve">
Der er 224 medlemmer, så vi bør få ca. 6720 kr. pr. md.</t>
        </r>
      </text>
    </comment>
  </commentList>
</comments>
</file>

<file path=xl/sharedStrings.xml><?xml version="1.0" encoding="utf-8"?>
<sst xmlns="http://schemas.openxmlformats.org/spreadsheetml/2006/main" count="375" uniqueCount="169">
  <si>
    <t>Mad</t>
  </si>
  <si>
    <t>Kontingenter</t>
  </si>
  <si>
    <t>TDC</t>
  </si>
  <si>
    <t>Sommerfest</t>
  </si>
  <si>
    <t>Julefrokost</t>
  </si>
  <si>
    <t>Vinklub</t>
  </si>
  <si>
    <t>Engangsinvesteringer</t>
  </si>
  <si>
    <t>Salg</t>
  </si>
  <si>
    <t>DEP tilskud</t>
  </si>
  <si>
    <t>Type</t>
  </si>
  <si>
    <t>Diverse arrangementer</t>
  </si>
  <si>
    <t>Netbank</t>
  </si>
  <si>
    <t>Kassebeholdning</t>
  </si>
  <si>
    <t>Bankbeholdning</t>
  </si>
  <si>
    <t>DHL løb</t>
  </si>
  <si>
    <t>Resultat</t>
  </si>
  <si>
    <t>Gebyrer</t>
  </si>
  <si>
    <t>Bar</t>
  </si>
  <si>
    <t>Beløb</t>
  </si>
  <si>
    <t>Poster</t>
  </si>
  <si>
    <t>Brugerbetaling</t>
  </si>
  <si>
    <t>Dokumentnr.</t>
  </si>
  <si>
    <t>Udgift</t>
  </si>
  <si>
    <t>DHL</t>
  </si>
  <si>
    <t>I alt</t>
  </si>
  <si>
    <t>Pengebeholdning, start</t>
  </si>
  <si>
    <t>Difference ift. Budget</t>
  </si>
  <si>
    <t>Brætspil</t>
  </si>
  <si>
    <t>Noter</t>
  </si>
  <si>
    <t>Indtægt</t>
  </si>
  <si>
    <t>Tværbar</t>
  </si>
  <si>
    <t>Kategorier</t>
  </si>
  <si>
    <t>Resultat 
(PF-tilskud)</t>
  </si>
  <si>
    <t>Resultat
(PF-tilskud)</t>
  </si>
  <si>
    <t>Pengebeholdning, optalt</t>
  </si>
  <si>
    <t>Festudvalgsmiddag</t>
  </si>
  <si>
    <t>November</t>
  </si>
  <si>
    <t>DEP-tilskud?</t>
  </si>
  <si>
    <t>Brugerbetaling?</t>
  </si>
  <si>
    <t>Salg?</t>
  </si>
  <si>
    <t>Udgift?</t>
  </si>
  <si>
    <t>Januar</t>
  </si>
  <si>
    <t>Februar</t>
  </si>
  <si>
    <t>December</t>
  </si>
  <si>
    <t>Difference ift. Regnskab</t>
  </si>
  <si>
    <t>Budget 2023-2024</t>
  </si>
  <si>
    <t>Indkøb 26/4</t>
  </si>
  <si>
    <t>Indkøb 23/3</t>
  </si>
  <si>
    <t>Indkøb til bar</t>
  </si>
  <si>
    <t>Hold 5 - netto</t>
  </si>
  <si>
    <t>Hold 5 - 365 discount</t>
  </si>
  <si>
    <t>Hold 5 - temashop</t>
  </si>
  <si>
    <t>Sabine - Kvickly</t>
  </si>
  <si>
    <t>Sabine - Fest &amp; Farver</t>
  </si>
  <si>
    <t>Sabine - Loppen</t>
  </si>
  <si>
    <t>Sabine - Kirppu</t>
  </si>
  <si>
    <t>Trine - Føtex</t>
  </si>
  <si>
    <t>Trine - Kids-world</t>
  </si>
  <si>
    <t>Trine - ITA textiles</t>
  </si>
  <si>
    <t>Trine - Party.dk</t>
  </si>
  <si>
    <t>Trine - Netto</t>
  </si>
  <si>
    <t>Signe - SuperBrugsen</t>
  </si>
  <si>
    <t>Signe - SuperBrugsen2</t>
  </si>
  <si>
    <t>Signe - Temashop</t>
  </si>
  <si>
    <t>Philip - Føtex</t>
  </si>
  <si>
    <t>Philip - BR</t>
  </si>
  <si>
    <t>Philip - Kvickly</t>
  </si>
  <si>
    <t>Philip - Netto</t>
  </si>
  <si>
    <t>Philip - Menu</t>
  </si>
  <si>
    <t>Mette - Pizza</t>
  </si>
  <si>
    <t>Mette - Silvan</t>
  </si>
  <si>
    <t>325 til ekstra vin dækkes af Rune og Bastian</t>
  </si>
  <si>
    <t>Martin - Nemlig</t>
  </si>
  <si>
    <t>Tilmelding</t>
  </si>
  <si>
    <t>Christina</t>
  </si>
  <si>
    <t>Indkøb 30/6</t>
  </si>
  <si>
    <t>Anne-Line</t>
  </si>
  <si>
    <t>Anders</t>
  </si>
  <si>
    <t>Anders 2</t>
  </si>
  <si>
    <t>Personaleforenings andel af depositum</t>
  </si>
  <si>
    <t>Samlet depositum var 177.187,5 inkl. moms eller 141.750 ekskl. Moms. Heraf er 150/person drinks, eller 40.500. Derfor betalte DEP 121.500 ekskl. Moms/151.875kr inkl. moms og personaleforening 25.312,5 inkl. moms. Til den endelige afdeling betaler personaleforening tilskud på 30.000kr. inkl. moms. samt billetindtægter, hvilket skal dække drikkevarer + delvis dækning af resten, og DEP betaler resten.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</si>
  <si>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</si>
  <si>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</si>
  <si>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</si>
  <si>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</si>
  <si>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</si>
  <si>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</si>
  <si>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</si>
  <si>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</si>
  <si>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Faktura - Fredagsøl 2023-04-26.pdf (f2p://document/73253)</t>
  </si>
  <si>
    <t>Faktura - fredagsøl 2023-03-23.pdf (f2p://document/73251)</t>
  </si>
  <si>
    <t>Faktura - Fredagsøl - 2023-06-30.pdf (f2p://document/73286)</t>
  </si>
  <si>
    <t>Nemlig.com</t>
  </si>
  <si>
    <t>f2p://document/253644</t>
  </si>
  <si>
    <t>David udlæg</t>
  </si>
  <si>
    <t>f2p://document/270916
f2p://document/270908
f2p://document/270917</t>
  </si>
  <si>
    <t>DJ</t>
  </si>
  <si>
    <t>f2p://document/280899</t>
  </si>
  <si>
    <t>Marlenes udlæg</t>
  </si>
  <si>
    <t>Med det hele</t>
  </si>
  <si>
    <t>f2p://document/328065</t>
  </si>
  <si>
    <t>Budget</t>
  </si>
  <si>
    <t>Forbrug</t>
  </si>
  <si>
    <t>ISM's andel af sommerfest til DEP</t>
  </si>
  <si>
    <t>f2p://document/345208</t>
  </si>
  <si>
    <t>Tilmeldinger</t>
  </si>
  <si>
    <t>Tilbagebetaling af depositum</t>
  </si>
  <si>
    <t>Myselfie</t>
  </si>
  <si>
    <t>f2p://document/359013</t>
  </si>
  <si>
    <t>Personaleforening tilskud til fest</t>
  </si>
  <si>
    <t>Myselfie transport</t>
  </si>
  <si>
    <t>f2p://document/393879</t>
  </si>
  <si>
    <t>f2p://document/393924</t>
  </si>
  <si>
    <t>Fragt af myselfie-boks</t>
  </si>
  <si>
    <t>f2p://document/402818</t>
  </si>
  <si>
    <t>Indkøb 30/11</t>
  </si>
  <si>
    <t>f2p://document/437840</t>
  </si>
  <si>
    <t>Fredagsbar</t>
  </si>
  <si>
    <t>Vagt</t>
  </si>
  <si>
    <t>f2p://document/546352</t>
  </si>
  <si>
    <t>Indkøb 20/2</t>
  </si>
  <si>
    <t>Indkøb 26/2</t>
  </si>
  <si>
    <t>Afvigelse fra budget</t>
  </si>
  <si>
    <t>Formeltjek: Opsummerer regnskabsboksen korrekt fra de enkelte arrangementsbokse?</t>
  </si>
  <si>
    <t>Regnskab (1. marts 2023 - 29. februar 2024) (alt inkl. Moms)</t>
  </si>
  <si>
    <t>Budget (1. marts 2023 - 29. februar 2024) (alt inkl. Moms)</t>
  </si>
  <si>
    <t>Indtægt til foreningens generelle mobilepay-boks</t>
  </si>
  <si>
    <t>Bogføres her da transaktionerne virker til at omfatte ølordningen</t>
  </si>
  <si>
    <t>Ølkrus</t>
  </si>
  <si>
    <t>f2p://document/1221314</t>
  </si>
  <si>
    <t>f2p://document/1200535</t>
  </si>
  <si>
    <t>Bankgebyrer</t>
  </si>
  <si>
    <t>Oister</t>
  </si>
  <si>
    <t>f2p://document/1221363</t>
  </si>
  <si>
    <t>Refusioner</t>
  </si>
  <si>
    <t>Sabine - Refusion for for høj betaling</t>
  </si>
  <si>
    <t>Mobilepay</t>
  </si>
  <si>
    <t>Udgifterne kommer i næste regnskab, så det tilføjer til kunstigt overskud i år og underskud næste år.</t>
  </si>
  <si>
    <t>Pengebeholdning, forventet efter regnskab</t>
  </si>
  <si>
    <t>Pengebeholdning, forventet efter budget</t>
  </si>
  <si>
    <t>Faktura - TDC - Bar.pdf (f2p://document/73255)</t>
  </si>
  <si>
    <t>Faktura - TDC - hold 5 - 2 x netto.jpg (f2p://document/73256)</t>
  </si>
  <si>
    <t>Faktura - TDC - hold 5 - 354 discount.jpg (f2p://document/73257)</t>
  </si>
  <si>
    <t>Faktura - TDC - hold 5 - temashop.pdf (f2p://document/73258)</t>
  </si>
  <si>
    <t>Faktura - TDC - Sabine - Festfarver.pdf (f2p://document/73261)</t>
  </si>
  <si>
    <t>Faktura - TDC - Sabine - Kvickly.tif (f2p://document/73264)</t>
  </si>
  <si>
    <t>Faktura - TDC - Sabine - Loppen.jpeg (f2p://document/73262)</t>
  </si>
  <si>
    <t>Faktura - TDC - Sabine - Kirppu.jpg (f2p://document/73263)</t>
  </si>
  <si>
    <t>ok</t>
  </si>
  <si>
    <t>Faktura - TDC - Trine - Føtex.jpg (f2p://document/73267)</t>
  </si>
  <si>
    <t>Faktura - TDC - Trine- Ita.jpeg (f2p://document/73269)</t>
  </si>
  <si>
    <t>Faktura - TDC - Trine - Netto.jpg (f2p://document/73270)</t>
  </si>
  <si>
    <t>Kvitteringer fra Tour De Chambre.msg (f2p://document/73273)</t>
  </si>
  <si>
    <t>Din bestelling på Party.dk.msg (f2p://document/73265)</t>
  </si>
  <si>
    <t>Ordrebekræftelse fra Kids-world - 4783763.msg (f2p://document/73266)</t>
  </si>
  <si>
    <t>pk</t>
  </si>
  <si>
    <t>Alle poster skal gerne være synlige; f2p://document/73271</t>
  </si>
  <si>
    <t>Faktura - TDC - Signe - SuperBrugsen2.jpg (f2p://document/73272)</t>
  </si>
  <si>
    <t>Faktura - TDC - Philip - BR.pdf (f2p://document/73275)</t>
  </si>
  <si>
    <t>Faktura - TDC - Philip - Kvickly.pdf (f2p://document/73276)</t>
  </si>
  <si>
    <t>Faktura - TDC - Philip - Netto.pdf (f2p://document/73277)</t>
  </si>
  <si>
    <t>Faktura - TDC - Philip - Menu.pdf (f2p://document/73278)</t>
  </si>
  <si>
    <t>Faktura - TDC - Mette - Pizza.jpg (f2p://document/73279)</t>
  </si>
  <si>
    <t>Faktura - TDC - Mette - Silvan.jpg (f2p://document/73280)</t>
  </si>
  <si>
    <t>Faktura - TDC - Martin - Nemlig.pdf (f2p://document/73282)</t>
  </si>
  <si>
    <t>Faktura - TDC - Christina.pdf (f2p://document/73284)</t>
  </si>
  <si>
    <t>0,5 kr. afvigelse; f2p://document/73289</t>
  </si>
  <si>
    <t>Faktura - TDC - Anders.jpg (f2p://document/73290)</t>
  </si>
  <si>
    <t>Faktura - TDC - Anders 2.jpg (f2p://document/73291)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</si>
</sst>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kr.&quot;* #,##0.00_);_(&quot;kr.&quot;* \(#,##0.00\);_(&quot;kr.&quot;* &quot;-&quot;??_);_(@_)"/>
    <numFmt numFmtId="165" formatCode="#,##0\ &quot;kr.&quot;"/>
    <numFmt numFmtId="166" formatCode="#,##0.00\ &quot;kr.&quot;"/>
    <numFmt numFmtId="167" formatCode="\+#,##0\ _k_r_.;\-#,##0\ _k_r_.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165" fontId="0" fillId="0" borderId="0" xfId="0" applyNumberFormat="1"/>
    <xf numFmtId="0" fontId="0" fillId="0" borderId="0" xfId="0" applyBorder="1"/>
    <xf numFmtId="165" fontId="0" fillId="0" borderId="0" xfId="0" applyNumberFormat="1" applyBorder="1"/>
    <xf numFmtId="0" fontId="2" fillId="0" borderId="0" xfId="0" applyFont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2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4" xfId="0" applyFont="1" applyFill="1" applyBorder="1"/>
    <xf numFmtId="0" fontId="0" fillId="0" borderId="6" xfId="0" applyFont="1" applyFill="1" applyBorder="1"/>
    <xf numFmtId="0" fontId="0" fillId="0" borderId="7" xfId="0" applyBorder="1"/>
    <xf numFmtId="165" fontId="0" fillId="0" borderId="7" xfId="0" applyNumberFormat="1" applyBorder="1"/>
    <xf numFmtId="0" fontId="0" fillId="0" borderId="8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6" xfId="0" applyBorder="1"/>
    <xf numFmtId="165" fontId="1" fillId="0" borderId="0" xfId="0" applyNumberFormat="1" applyFont="1" applyBorder="1"/>
    <xf numFmtId="165" fontId="1" fillId="0" borderId="9" xfId="0" applyNumberFormat="1" applyFont="1" applyBorder="1"/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5" fontId="0" fillId="0" borderId="5" xfId="0" applyNumberFormat="1" applyBorder="1"/>
    <xf numFmtId="0" fontId="0" fillId="0" borderId="7" xfId="0" applyBorder="1" applyAlignment="1">
      <alignment wrapText="1"/>
    </xf>
    <xf numFmtId="0" fontId="1" fillId="0" borderId="0" xfId="0" applyFont="1" applyBorder="1" applyAlignment="1">
      <alignment horizontal="left"/>
    </xf>
    <xf numFmtId="165" fontId="0" fillId="0" borderId="0" xfId="0" applyNumberForma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horizontal="left"/>
    </xf>
    <xf numFmtId="165" fontId="1" fillId="0" borderId="11" xfId="0" applyNumberFormat="1" applyFont="1" applyBorder="1"/>
    <xf numFmtId="0" fontId="1" fillId="0" borderId="4" xfId="0" applyFont="1" applyBorder="1" applyAlignment="1">
      <alignment horizontal="left"/>
    </xf>
    <xf numFmtId="165" fontId="1" fillId="0" borderId="5" xfId="0" applyNumberFormat="1" applyFont="1" applyBorder="1"/>
    <xf numFmtId="0" fontId="1" fillId="0" borderId="6" xfId="0" applyFont="1" applyBorder="1" applyAlignment="1">
      <alignment wrapText="1"/>
    </xf>
    <xf numFmtId="165" fontId="0" fillId="0" borderId="7" xfId="0" applyNumberFormat="1" applyBorder="1" applyAlignment="1">
      <alignment wrapText="1"/>
    </xf>
    <xf numFmtId="165" fontId="1" fillId="0" borderId="7" xfId="0" applyNumberFormat="1" applyFont="1" applyBorder="1"/>
    <xf numFmtId="165" fontId="1" fillId="0" borderId="8" xfId="0" applyNumberFormat="1" applyFont="1" applyBorder="1"/>
    <xf numFmtId="0" fontId="1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165" fontId="2" fillId="0" borderId="7" xfId="0" applyNumberFormat="1" applyFont="1" applyBorder="1"/>
    <xf numFmtId="0" fontId="0" fillId="0" borderId="0" xfId="0" applyFill="1" applyBorder="1"/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4" xfId="0" applyFont="1" applyBorder="1"/>
    <xf numFmtId="49" fontId="0" fillId="0" borderId="4" xfId="0" applyNumberFormat="1" applyBorder="1"/>
    <xf numFmtId="165" fontId="0" fillId="0" borderId="8" xfId="0" applyNumberFormat="1" applyBorder="1"/>
    <xf numFmtId="0" fontId="0" fillId="0" borderId="6" xfId="0" applyFont="1" applyBorder="1"/>
    <xf numFmtId="0" fontId="0" fillId="0" borderId="0" xfId="0" applyFont="1" applyBorder="1"/>
    <xf numFmtId="0" fontId="0" fillId="0" borderId="7" xfId="0" applyFont="1" applyBorder="1"/>
    <xf numFmtId="165" fontId="0" fillId="0" borderId="7" xfId="0" applyNumberFormat="1" applyFont="1" applyBorder="1"/>
    <xf numFmtId="0" fontId="0" fillId="0" borderId="7" xfId="0" applyFont="1" applyBorder="1" applyAlignment="1">
      <alignment wrapText="1"/>
    </xf>
    <xf numFmtId="0" fontId="0" fillId="0" borderId="8" xfId="0" applyFont="1" applyBorder="1"/>
    <xf numFmtId="164" fontId="0" fillId="0" borderId="0" xfId="1" applyFont="1" applyBorder="1"/>
    <xf numFmtId="164" fontId="0" fillId="0" borderId="7" xfId="1" applyFont="1" applyBorder="1"/>
    <xf numFmtId="164" fontId="0" fillId="0" borderId="7" xfId="1" applyFont="1" applyBorder="1" applyAlignment="1">
      <alignment wrapText="1"/>
    </xf>
    <xf numFmtId="164" fontId="8" fillId="0" borderId="0" xfId="1" applyFont="1" applyBorder="1"/>
    <xf numFmtId="166" fontId="0" fillId="0" borderId="5" xfId="1" applyNumberFormat="1" applyFont="1" applyBorder="1"/>
    <xf numFmtId="49" fontId="1" fillId="0" borderId="4" xfId="0" applyNumberFormat="1" applyFont="1" applyBorder="1"/>
    <xf numFmtId="165" fontId="1" fillId="0" borderId="2" xfId="0" applyNumberFormat="1" applyFont="1" applyBorder="1"/>
    <xf numFmtId="0" fontId="1" fillId="0" borderId="4" xfId="0" applyFont="1" applyFill="1" applyBorder="1" applyAlignment="1">
      <alignment wrapText="1"/>
    </xf>
    <xf numFmtId="165" fontId="1" fillId="0" borderId="1" xfId="0" applyNumberFormat="1" applyFont="1" applyBorder="1"/>
    <xf numFmtId="167" fontId="7" fillId="0" borderId="5" xfId="0" applyNumberFormat="1" applyFont="1" applyBorder="1" applyAlignment="1">
      <alignment wrapText="1"/>
    </xf>
    <xf numFmtId="167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64" fontId="0" fillId="0" borderId="0" xfId="0" applyNumberFormat="1"/>
    <xf numFmtId="0" fontId="3" fillId="0" borderId="0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165" fontId="2" fillId="0" borderId="0" xfId="0" applyNumberFormat="1" applyFont="1" applyBorder="1"/>
    <xf numFmtId="0" fontId="2" fillId="0" borderId="2" xfId="0" applyFont="1" applyBorder="1"/>
    <xf numFmtId="0" fontId="0" fillId="0" borderId="5" xfId="0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164" fontId="0" fillId="0" borderId="0" xfId="1" applyFont="1" applyBorder="1" applyAlignment="1">
      <alignment vertical="top"/>
    </xf>
    <xf numFmtId="0" fontId="9" fillId="0" borderId="0" xfId="2"/>
    <xf numFmtId="0" fontId="9" fillId="0" borderId="0" xfId="2" applyBorder="1" applyAlignment="1"/>
    <xf numFmtId="164" fontId="2" fillId="0" borderId="2" xfId="0" applyNumberFormat="1" applyFont="1" applyBorder="1"/>
    <xf numFmtId="0" fontId="4" fillId="0" borderId="4" xfId="0" applyFont="1" applyBorder="1"/>
    <xf numFmtId="164" fontId="2" fillId="0" borderId="0" xfId="0" applyNumberFormat="1" applyFont="1" applyBorder="1"/>
    <xf numFmtId="0" fontId="1" fillId="0" borderId="0" xfId="0" applyFont="1" applyBorder="1"/>
    <xf numFmtId="0" fontId="10" fillId="0" borderId="0" xfId="0" applyFont="1" applyBorder="1"/>
    <xf numFmtId="0" fontId="1" fillId="0" borderId="5" xfId="0" applyFont="1" applyBorder="1"/>
    <xf numFmtId="165" fontId="0" fillId="0" borderId="4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Border="1"/>
    <xf numFmtId="0" fontId="0" fillId="0" borderId="0" xfId="0" applyFill="1" applyBorder="1" applyAlignment="1"/>
    <xf numFmtId="0" fontId="9" fillId="0" borderId="0" xfId="2" applyBorder="1"/>
    <xf numFmtId="0" fontId="9" fillId="0" borderId="0" xfId="2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9" fillId="0" borderId="0" xfId="2" applyBorder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1" fillId="0" borderId="0" xfId="2" applyFont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/>
    </xf>
    <xf numFmtId="0" fontId="11" fillId="0" borderId="4" xfId="0" applyFont="1" applyFill="1" applyBorder="1"/>
    <xf numFmtId="0" fontId="11" fillId="0" borderId="0" xfId="0" applyFont="1" applyFill="1" applyBorder="1"/>
    <xf numFmtId="164" fontId="11" fillId="0" borderId="0" xfId="1" applyFont="1" applyBorder="1"/>
  </cellXfs>
  <cellStyles count="3">
    <cellStyle name="Link" xfId="2" builtinId="8"/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83443385977904"/>
          <c:y val="3.9007092198581561E-2"/>
          <c:w val="0.69588381415837941"/>
          <c:h val="0.80071536270732113"/>
        </c:manualLayout>
      </c:layout>
      <c:barChart>
        <c:barDir val="bar"/>
        <c:grouping val="clustered"/>
        <c:varyColors val="0"/>
        <c:ser>
          <c:idx val="1"/>
          <c:order val="0"/>
          <c:tx>
            <c:v>Regnskab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'Budget og regnskab 2023-2024'!$B$7:$B$19</c:f>
              <c:strCache>
                <c:ptCount val="13"/>
                <c:pt idx="0">
                  <c:v>Kontingenter</c:v>
                </c:pt>
                <c:pt idx="1">
                  <c:v>Engangsinvesteringer</c:v>
                </c:pt>
                <c:pt idx="2">
                  <c:v>Julefrokost</c:v>
                </c:pt>
                <c:pt idx="3">
                  <c:v>Sommerfest</c:v>
                </c:pt>
                <c:pt idx="4">
                  <c:v>TDC</c:v>
                </c:pt>
                <c:pt idx="5">
                  <c:v>Vinklub</c:v>
                </c:pt>
                <c:pt idx="6">
                  <c:v>Diverse arrangementer</c:v>
                </c:pt>
                <c:pt idx="7">
                  <c:v>DHL</c:v>
                </c:pt>
                <c:pt idx="8">
                  <c:v>Gebyrer</c:v>
                </c:pt>
                <c:pt idx="9">
                  <c:v>Fredagsbar</c:v>
                </c:pt>
                <c:pt idx="10">
                  <c:v>Tværbar</c:v>
                </c:pt>
                <c:pt idx="11">
                  <c:v>Festudvalgsmiddag</c:v>
                </c:pt>
                <c:pt idx="12">
                  <c:v>I alt</c:v>
                </c:pt>
              </c:strCache>
            </c:strRef>
          </c:cat>
          <c:val>
            <c:numRef>
              <c:f>'Budget og regnskab 2023-2024'!$N$7:$N$19</c:f>
              <c:numCache>
                <c:formatCode>#,##0\ "kr."</c:formatCode>
                <c:ptCount val="13"/>
                <c:pt idx="0">
                  <c:v>67830</c:v>
                </c:pt>
                <c:pt idx="1">
                  <c:v>-1004.7</c:v>
                </c:pt>
                <c:pt idx="2">
                  <c:v>-40151.167000000001</c:v>
                </c:pt>
                <c:pt idx="3">
                  <c:v>-20511.75</c:v>
                </c:pt>
                <c:pt idx="4">
                  <c:v>-3696.25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-545</c:v>
                </c:pt>
                <c:pt idx="9">
                  <c:v>-12097.79</c:v>
                </c:pt>
                <c:pt idx="10">
                  <c:v>9199.6000000000058</c:v>
                </c:pt>
                <c:pt idx="11">
                  <c:v>-7485</c:v>
                </c:pt>
                <c:pt idx="12">
                  <c:v>-8462.0569999999934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4-46C7-B5B3-296EB0421187}"/>
            </c:ext>
          </c:extLst>
        </c:ser>
        <c:ser>
          <c:idx val="0"/>
          <c:order val="1"/>
          <c:tx>
            <c:v>Budget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'Budget og regnskab 2023-2024'!$B$7:$B$19</c:f>
              <c:strCache>
                <c:ptCount val="13"/>
                <c:pt idx="0">
                  <c:v>Kontingenter</c:v>
                </c:pt>
                <c:pt idx="1">
                  <c:v>Engangsinvesteringer</c:v>
                </c:pt>
                <c:pt idx="2">
                  <c:v>Julefrokost</c:v>
                </c:pt>
                <c:pt idx="3">
                  <c:v>Sommerfest</c:v>
                </c:pt>
                <c:pt idx="4">
                  <c:v>TDC</c:v>
                </c:pt>
                <c:pt idx="5">
                  <c:v>Vinklub</c:v>
                </c:pt>
                <c:pt idx="6">
                  <c:v>Diverse arrangementer</c:v>
                </c:pt>
                <c:pt idx="7">
                  <c:v>DHL</c:v>
                </c:pt>
                <c:pt idx="8">
                  <c:v>Gebyrer</c:v>
                </c:pt>
                <c:pt idx="9">
                  <c:v>Fredagsbar</c:v>
                </c:pt>
                <c:pt idx="10">
                  <c:v>Tværbar</c:v>
                </c:pt>
                <c:pt idx="11">
                  <c:v>Festudvalgsmiddag</c:v>
                </c:pt>
                <c:pt idx="12">
                  <c:v>I alt</c:v>
                </c:pt>
              </c:strCache>
            </c:strRef>
          </c:cat>
          <c:val>
            <c:numRef>
              <c:f>'Budget og regnskab 2023-2024'!$G$7:$G$19</c:f>
              <c:numCache>
                <c:formatCode>#,##0\ "kr."</c:formatCode>
                <c:ptCount val="13"/>
                <c:pt idx="0">
                  <c:v>60000</c:v>
                </c:pt>
                <c:pt idx="1">
                  <c:v>-4000</c:v>
                </c:pt>
                <c:pt idx="2">
                  <c:v>-30000</c:v>
                </c:pt>
                <c:pt idx="3">
                  <c:v>-30000</c:v>
                </c:pt>
                <c:pt idx="4">
                  <c:v>-10000</c:v>
                </c:pt>
                <c:pt idx="5">
                  <c:v>-4000</c:v>
                </c:pt>
                <c:pt idx="6">
                  <c:v>-9180</c:v>
                </c:pt>
                <c:pt idx="7">
                  <c:v>0</c:v>
                </c:pt>
                <c:pt idx="8">
                  <c:v>-2400</c:v>
                </c:pt>
                <c:pt idx="9">
                  <c:v>0</c:v>
                </c:pt>
                <c:pt idx="10">
                  <c:v>15000</c:v>
                </c:pt>
                <c:pt idx="11">
                  <c:v>-6820</c:v>
                </c:pt>
                <c:pt idx="12">
                  <c:v>-21400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34-46C7-B5B3-296EB0421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22498192"/>
        <c:axId val="1936662544"/>
      </c:barChart>
      <c:catAx>
        <c:axId val="1422498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36662544"/>
        <c:crosses val="autoZero"/>
        <c:auto val="1"/>
        <c:lblAlgn val="ctr"/>
        <c:lblOffset val="100"/>
        <c:noMultiLvlLbl val="0"/>
      </c:catAx>
      <c:valAx>
        <c:axId val="193666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kr.&quot;" sourceLinked="1"/>
        <c:majorTickMark val="out"/>
        <c:minorTickMark val="none"/>
        <c:tickLblPos val="nextTo"/>
        <c:spPr>
          <a:noFill/>
          <a:ln w="9525">
            <a:solidFill>
              <a:schemeClr val="accent1"/>
            </a:solidFill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42249819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36</xdr:row>
      <xdr:rowOff>114299</xdr:rowOff>
    </xdr:from>
    <xdr:to>
      <xdr:col>14</xdr:col>
      <xdr:colOff>828675</xdr:colOff>
      <xdr:row>62</xdr:row>
      <xdr:rowOff>180974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674A9CD-88BA-41C8-8BC0-04AD6B093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2p://document/73264" TargetMode="External"/><Relationship Id="rId18" Type="http://schemas.openxmlformats.org/officeDocument/2006/relationships/hyperlink" Target="f2p://document/73270" TargetMode="External"/><Relationship Id="rId26" Type="http://schemas.openxmlformats.org/officeDocument/2006/relationships/hyperlink" Target="f2p://document/73277" TargetMode="External"/><Relationship Id="rId21" Type="http://schemas.openxmlformats.org/officeDocument/2006/relationships/hyperlink" Target="f2p://document/73266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f2p://document/778325" TargetMode="External"/><Relationship Id="rId12" Type="http://schemas.openxmlformats.org/officeDocument/2006/relationships/hyperlink" Target="f2p://document/73261" TargetMode="External"/><Relationship Id="rId17" Type="http://schemas.openxmlformats.org/officeDocument/2006/relationships/hyperlink" Target="f2p://document/73269" TargetMode="External"/><Relationship Id="rId25" Type="http://schemas.openxmlformats.org/officeDocument/2006/relationships/hyperlink" Target="f2p://document/73276" TargetMode="External"/><Relationship Id="rId33" Type="http://schemas.openxmlformats.org/officeDocument/2006/relationships/hyperlink" Target="f2p://document/73291" TargetMode="External"/><Relationship Id="rId2" Type="http://schemas.openxmlformats.org/officeDocument/2006/relationships/hyperlink" Target="f2p://document/73251" TargetMode="External"/><Relationship Id="rId16" Type="http://schemas.openxmlformats.org/officeDocument/2006/relationships/hyperlink" Target="f2p://document/73267" TargetMode="External"/><Relationship Id="rId20" Type="http://schemas.openxmlformats.org/officeDocument/2006/relationships/hyperlink" Target="f2p://document/73265" TargetMode="External"/><Relationship Id="rId29" Type="http://schemas.openxmlformats.org/officeDocument/2006/relationships/hyperlink" Target="f2p://document/73280" TargetMode="External"/><Relationship Id="rId1" Type="http://schemas.openxmlformats.org/officeDocument/2006/relationships/hyperlink" Target="f2p://document/73253" TargetMode="External"/><Relationship Id="rId6" Type="http://schemas.openxmlformats.org/officeDocument/2006/relationships/hyperlink" Target="f2p://document/751863" TargetMode="External"/><Relationship Id="rId11" Type="http://schemas.openxmlformats.org/officeDocument/2006/relationships/hyperlink" Target="f2p://document/73258" TargetMode="External"/><Relationship Id="rId24" Type="http://schemas.openxmlformats.org/officeDocument/2006/relationships/hyperlink" Target="f2p://document/73275" TargetMode="External"/><Relationship Id="rId32" Type="http://schemas.openxmlformats.org/officeDocument/2006/relationships/hyperlink" Target="f2p://document/73290" TargetMode="External"/><Relationship Id="rId37" Type="http://schemas.openxmlformats.org/officeDocument/2006/relationships/comments" Target="../comments1.xml"/><Relationship Id="rId5" Type="http://schemas.openxmlformats.org/officeDocument/2006/relationships/hyperlink" Target="f2p://document/393879" TargetMode="External"/><Relationship Id="rId15" Type="http://schemas.openxmlformats.org/officeDocument/2006/relationships/hyperlink" Target="f2p://document/73263" TargetMode="External"/><Relationship Id="rId23" Type="http://schemas.openxmlformats.org/officeDocument/2006/relationships/hyperlink" Target="f2p://document/73272" TargetMode="External"/><Relationship Id="rId28" Type="http://schemas.openxmlformats.org/officeDocument/2006/relationships/hyperlink" Target="f2p://document/73279" TargetMode="External"/><Relationship Id="rId36" Type="http://schemas.openxmlformats.org/officeDocument/2006/relationships/vmlDrawing" Target="../drawings/vmlDrawing1.vml"/><Relationship Id="rId10" Type="http://schemas.openxmlformats.org/officeDocument/2006/relationships/hyperlink" Target="f2p://document/73257" TargetMode="External"/><Relationship Id="rId19" Type="http://schemas.openxmlformats.org/officeDocument/2006/relationships/hyperlink" Target="f2p://document/73273" TargetMode="External"/><Relationship Id="rId31" Type="http://schemas.openxmlformats.org/officeDocument/2006/relationships/hyperlink" Target="f2p://document/73284" TargetMode="External"/><Relationship Id="rId4" Type="http://schemas.openxmlformats.org/officeDocument/2006/relationships/hyperlink" Target="f2p://document/253644" TargetMode="External"/><Relationship Id="rId9" Type="http://schemas.openxmlformats.org/officeDocument/2006/relationships/hyperlink" Target="f2p://document/73256" TargetMode="External"/><Relationship Id="rId14" Type="http://schemas.openxmlformats.org/officeDocument/2006/relationships/hyperlink" Target="f2p://document/73262" TargetMode="External"/><Relationship Id="rId22" Type="http://schemas.openxmlformats.org/officeDocument/2006/relationships/hyperlink" Target="f2p://document/73272" TargetMode="External"/><Relationship Id="rId27" Type="http://schemas.openxmlformats.org/officeDocument/2006/relationships/hyperlink" Target="f2p://document/73278" TargetMode="External"/><Relationship Id="rId30" Type="http://schemas.openxmlformats.org/officeDocument/2006/relationships/hyperlink" Target="f2p://document/73282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f2p://document/73255" TargetMode="External"/><Relationship Id="rId3" Type="http://schemas.openxmlformats.org/officeDocument/2006/relationships/hyperlink" Target="f2p://document/73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360F-09FC-4732-917F-FCC2336768B5}">
  <dimension ref="A1:P234"/>
  <sheetViews>
    <sheetView tabSelected="1" topLeftCell="A79" zoomScale="70" zoomScaleNormal="70" workbookViewId="0">
      <selection activeCell="O90" sqref="O90"/>
    </sheetView>
  </sheetViews>
  <sheetFormatPr defaultRowHeight="15" x14ac:dyDescent="0.25"/>
  <cols>
    <col min="1" max="1" width="11.28515625" style="71" bestFit="1" customWidth="1"/>
    <col min="2" max="2" width="29.85546875" customWidth="1"/>
    <col min="3" max="7" width="14.7109375" customWidth="1"/>
    <col min="9" max="9" width="21.85546875" bestFit="1" customWidth="1"/>
    <col min="10" max="10" width="15.85546875" customWidth="1"/>
    <col min="11" max="11" width="16.140625" customWidth="1"/>
    <col min="12" max="12" width="12" customWidth="1"/>
    <col min="13" max="13" width="10.7109375" bestFit="1" customWidth="1"/>
    <col min="14" max="14" width="16.42578125" customWidth="1"/>
    <col min="15" max="15" width="12.5703125" customWidth="1"/>
    <col min="16" max="16" width="13.28515625" customWidth="1"/>
  </cols>
  <sheetData>
    <row r="1" spans="1:16" ht="18.75" x14ac:dyDescent="0.3">
      <c r="B1" s="8" t="s">
        <v>125</v>
      </c>
      <c r="C1" s="9"/>
      <c r="D1" s="9"/>
      <c r="E1" s="9"/>
      <c r="F1" s="9"/>
      <c r="G1" s="10"/>
      <c r="I1" s="8" t="s">
        <v>124</v>
      </c>
      <c r="J1" s="9"/>
      <c r="K1" s="9"/>
      <c r="L1" s="9"/>
      <c r="M1" s="9"/>
      <c r="N1" s="9"/>
      <c r="O1" s="14"/>
    </row>
    <row r="2" spans="1:16" s="7" customFormat="1" x14ac:dyDescent="0.25">
      <c r="A2" s="72"/>
      <c r="B2" s="31" t="s">
        <v>25</v>
      </c>
      <c r="C2" s="20"/>
      <c r="D2" s="20"/>
      <c r="E2" s="20"/>
      <c r="F2" s="20"/>
      <c r="G2" s="27"/>
      <c r="I2" s="32"/>
      <c r="J2" s="20"/>
      <c r="K2" s="20"/>
      <c r="L2" s="3"/>
      <c r="M2" s="20"/>
      <c r="N2" s="30"/>
      <c r="O2" s="33"/>
    </row>
    <row r="3" spans="1:16" s="7" customFormat="1" x14ac:dyDescent="0.25">
      <c r="A3" s="72"/>
      <c r="B3" s="32" t="s">
        <v>13</v>
      </c>
      <c r="C3" s="4">
        <v>37384</v>
      </c>
      <c r="D3" s="20"/>
      <c r="E3" s="20"/>
      <c r="F3" s="20"/>
      <c r="G3" s="27"/>
      <c r="I3" s="32"/>
      <c r="J3" s="20"/>
      <c r="K3" s="20"/>
      <c r="L3" s="3"/>
      <c r="M3" s="20"/>
      <c r="N3" s="30"/>
      <c r="O3" s="33"/>
    </row>
    <row r="4" spans="1:16" s="7" customFormat="1" x14ac:dyDescent="0.25">
      <c r="A4" s="72"/>
      <c r="B4" s="32" t="s">
        <v>12</v>
      </c>
      <c r="C4" s="4">
        <v>0</v>
      </c>
      <c r="D4" s="20"/>
      <c r="E4" s="20"/>
      <c r="F4" s="20"/>
      <c r="G4" s="27"/>
      <c r="I4" s="32"/>
      <c r="J4" s="20"/>
      <c r="K4" s="20"/>
      <c r="L4" s="3"/>
      <c r="M4" s="20"/>
      <c r="N4" s="30"/>
      <c r="O4" s="33"/>
    </row>
    <row r="5" spans="1:16" s="7" customFormat="1" x14ac:dyDescent="0.25">
      <c r="A5" s="72"/>
      <c r="B5" s="32"/>
      <c r="C5" s="20"/>
      <c r="D5" s="20"/>
      <c r="E5" s="20"/>
      <c r="F5" s="20"/>
      <c r="G5" s="27"/>
      <c r="I5" s="32"/>
      <c r="J5" s="20"/>
      <c r="K5" s="20"/>
      <c r="L5" s="3"/>
      <c r="M5" s="20"/>
      <c r="N5" s="30"/>
      <c r="O5" s="33"/>
    </row>
    <row r="6" spans="1:16" s="7" customFormat="1" ht="30" x14ac:dyDescent="0.25">
      <c r="A6" s="72"/>
      <c r="B6" s="31" t="s">
        <v>19</v>
      </c>
      <c r="C6" s="20" t="s">
        <v>8</v>
      </c>
      <c r="D6" s="20" t="s">
        <v>20</v>
      </c>
      <c r="E6" s="20" t="s">
        <v>7</v>
      </c>
      <c r="F6" s="20" t="s">
        <v>22</v>
      </c>
      <c r="G6" s="33" t="s">
        <v>32</v>
      </c>
      <c r="I6" s="31" t="s">
        <v>19</v>
      </c>
      <c r="J6" s="20" t="s">
        <v>8</v>
      </c>
      <c r="K6" s="20" t="s">
        <v>20</v>
      </c>
      <c r="L6" s="3" t="s">
        <v>7</v>
      </c>
      <c r="M6" s="20" t="s">
        <v>22</v>
      </c>
      <c r="N6" s="20" t="s">
        <v>33</v>
      </c>
      <c r="O6" s="26" t="s">
        <v>122</v>
      </c>
      <c r="P6" s="7" t="s">
        <v>45</v>
      </c>
    </row>
    <row r="7" spans="1:16" s="7" customFormat="1" x14ac:dyDescent="0.25">
      <c r="A7" s="72"/>
      <c r="B7" s="32" t="s">
        <v>1</v>
      </c>
      <c r="C7" s="20"/>
      <c r="D7" s="20"/>
      <c r="E7" s="20"/>
      <c r="F7" s="20"/>
      <c r="G7" s="27">
        <v>60000</v>
      </c>
      <c r="H7" s="100"/>
      <c r="I7" s="32" t="s">
        <v>1</v>
      </c>
      <c r="J7" s="20"/>
      <c r="K7" s="20"/>
      <c r="L7" s="3"/>
      <c r="M7" s="20"/>
      <c r="N7" s="30">
        <f>SUM(C32:C43)</f>
        <v>67830</v>
      </c>
      <c r="O7" s="69">
        <f>N7-G7</f>
        <v>7830</v>
      </c>
    </row>
    <row r="8" spans="1:16" x14ac:dyDescent="0.25">
      <c r="B8" s="34" t="s">
        <v>6</v>
      </c>
      <c r="C8" s="4"/>
      <c r="D8" s="4"/>
      <c r="E8" s="4"/>
      <c r="F8" s="4">
        <v>4000</v>
      </c>
      <c r="G8" s="27">
        <f>SUM(C8:E8)-F8</f>
        <v>-4000</v>
      </c>
      <c r="H8" s="101"/>
      <c r="I8" s="34" t="s">
        <v>6</v>
      </c>
      <c r="J8" s="4">
        <f>SUMIF($C$50:$C$52,J6,$E$50:$E$52)</f>
        <v>0</v>
      </c>
      <c r="K8" s="4">
        <f>SUMIF($C$50:$C$52,K6,$E$50:$E$52)</f>
        <v>0</v>
      </c>
      <c r="L8" s="4">
        <f>SUMIF($C$50:$C$52,L6,$E$50:$E$52)</f>
        <v>0</v>
      </c>
      <c r="M8" s="4">
        <f>SUMIF($C$50:$C$52,M6,$E$50:$E$52)</f>
        <v>1004.7</v>
      </c>
      <c r="N8" s="4">
        <f t="shared" ref="N8:N17" si="0">SUM(J8:L8)-M8</f>
        <v>-1004.7</v>
      </c>
      <c r="O8" s="69">
        <f>N8-G8</f>
        <v>2995.3</v>
      </c>
    </row>
    <row r="9" spans="1:16" x14ac:dyDescent="0.25">
      <c r="B9" s="34" t="s">
        <v>4</v>
      </c>
      <c r="C9" s="4">
        <v>250000</v>
      </c>
      <c r="D9" s="4">
        <v>50000</v>
      </c>
      <c r="E9" s="4"/>
      <c r="F9" s="4">
        <v>330000</v>
      </c>
      <c r="G9" s="27">
        <f t="shared" ref="G9:G17" si="1">SUM(C9:E9)-F9</f>
        <v>-30000</v>
      </c>
      <c r="H9" s="101"/>
      <c r="I9" s="34" t="s">
        <v>4</v>
      </c>
      <c r="J9" s="4">
        <f>SUMIF($C$59:$C$66,J6,$E$59:$E$66)</f>
        <v>0</v>
      </c>
      <c r="K9" s="4">
        <f>SUMIF($C$59:$C$66,K6,$E$59:$E$66)</f>
        <v>59503.832999999999</v>
      </c>
      <c r="L9" s="4">
        <f>SUMIF($C$59:$C$66,L6,$E$59:$E$66)</f>
        <v>0</v>
      </c>
      <c r="M9" s="4">
        <f>SUMIF($C$59:$C$66,M6,$E$59:$E$66)</f>
        <v>99655</v>
      </c>
      <c r="N9" s="4">
        <f t="shared" si="0"/>
        <v>-40151.167000000001</v>
      </c>
      <c r="O9" s="69">
        <f t="shared" ref="O9:O19" si="2">N9-G9</f>
        <v>-10151.167000000001</v>
      </c>
    </row>
    <row r="10" spans="1:16" x14ac:dyDescent="0.25">
      <c r="B10" s="34" t="s">
        <v>3</v>
      </c>
      <c r="C10" s="4">
        <v>170000</v>
      </c>
      <c r="D10" s="4">
        <v>30000</v>
      </c>
      <c r="E10" s="4"/>
      <c r="F10" s="4">
        <v>230000</v>
      </c>
      <c r="G10" s="27">
        <f t="shared" si="1"/>
        <v>-30000</v>
      </c>
      <c r="H10" s="101"/>
      <c r="I10" s="34" t="s">
        <v>3</v>
      </c>
      <c r="J10" s="4">
        <f>SUMIF($C$73:$C$79,J6,$E$73:$E$79)</f>
        <v>0</v>
      </c>
      <c r="K10" s="4">
        <f>SUMIF($C$73:$C$79,K6,$E$73:$E$79)</f>
        <v>55288.25</v>
      </c>
      <c r="L10" s="4">
        <f>SUMIF($C$73:$C$79,L6,$E$73:$E$79)</f>
        <v>0</v>
      </c>
      <c r="M10" s="4">
        <f>SUMIF($C$73:$C$79,M6,$E$73:$E$79)</f>
        <v>75800</v>
      </c>
      <c r="N10" s="4">
        <f t="shared" si="0"/>
        <v>-20511.75</v>
      </c>
      <c r="O10" s="69">
        <f t="shared" si="2"/>
        <v>9488.25</v>
      </c>
    </row>
    <row r="11" spans="1:16" x14ac:dyDescent="0.25">
      <c r="B11" s="34" t="s">
        <v>2</v>
      </c>
      <c r="C11" s="4"/>
      <c r="D11" s="4">
        <v>5000</v>
      </c>
      <c r="E11" s="4"/>
      <c r="F11" s="4">
        <v>15000</v>
      </c>
      <c r="G11" s="27">
        <f t="shared" si="1"/>
        <v>-10000</v>
      </c>
      <c r="H11" s="101"/>
      <c r="I11" s="34" t="s">
        <v>2</v>
      </c>
      <c r="J11" s="4">
        <f>SUMIF($C$87:$C$135,J6,$E$87:$E$135)</f>
        <v>0</v>
      </c>
      <c r="K11" s="4">
        <f>SUMIF($C$87:$C$135,K6,$E$87:$E$135)</f>
        <v>14544.400000000001</v>
      </c>
      <c r="L11" s="4">
        <f>SUMIF($C$87:$C$135,L6,$E$87:$E$135)</f>
        <v>3058.25</v>
      </c>
      <c r="M11" s="4">
        <f>SUMIF($C$87:$C$135,M6,$E$87:$E$135)</f>
        <v>21298.9</v>
      </c>
      <c r="N11" s="4">
        <f t="shared" si="0"/>
        <v>-3696.25</v>
      </c>
      <c r="O11" s="69">
        <f t="shared" si="2"/>
        <v>6303.75</v>
      </c>
    </row>
    <row r="12" spans="1:16" x14ac:dyDescent="0.25">
      <c r="B12" s="34" t="s">
        <v>5</v>
      </c>
      <c r="C12" s="4"/>
      <c r="D12" s="4">
        <v>12000</v>
      </c>
      <c r="E12" s="4"/>
      <c r="F12" s="4">
        <v>16000</v>
      </c>
      <c r="G12" s="27">
        <f t="shared" si="1"/>
        <v>-4000</v>
      </c>
      <c r="H12" s="101"/>
      <c r="I12" s="34" t="s">
        <v>5</v>
      </c>
      <c r="J12" s="4">
        <f>SUMIF($C$142:$C$145,J6,$E$142:$E$145)</f>
        <v>0</v>
      </c>
      <c r="K12" s="4">
        <f>SUMIF($C$142:$C$145,K6,$E$142:$E$145)</f>
        <v>0</v>
      </c>
      <c r="L12" s="4">
        <f>SUMIF($C$142:$C$145,L6,$E$142:$E$145)</f>
        <v>0</v>
      </c>
      <c r="M12" s="4">
        <f>SUMIF($C$142:$C$145,M6,$E$142:$E$145)</f>
        <v>0</v>
      </c>
      <c r="N12" s="4">
        <f t="shared" si="0"/>
        <v>0</v>
      </c>
      <c r="O12" s="69">
        <f t="shared" si="2"/>
        <v>4000</v>
      </c>
    </row>
    <row r="13" spans="1:16" x14ac:dyDescent="0.25">
      <c r="B13" s="34" t="s">
        <v>10</v>
      </c>
      <c r="C13" s="4"/>
      <c r="D13" s="4"/>
      <c r="E13" s="4"/>
      <c r="F13" s="4">
        <f>10000-820</f>
        <v>9180</v>
      </c>
      <c r="G13" s="27">
        <f t="shared" si="1"/>
        <v>-9180</v>
      </c>
      <c r="H13" s="101"/>
      <c r="I13" s="34" t="s">
        <v>10</v>
      </c>
      <c r="J13" s="4">
        <f>SUMIF($C$153:$C$154,J6,$E$153:$E$154)</f>
        <v>0</v>
      </c>
      <c r="K13" s="4">
        <f>SUMIF($C$153:$C$154,K6,$E$153:$E$154)</f>
        <v>0</v>
      </c>
      <c r="L13" s="4">
        <f>SUMIF($C$153:$C$154,L6,$E$153:$E$154)</f>
        <v>0</v>
      </c>
      <c r="M13" s="4">
        <f>SUMIF($C$153:$C$154,M6,$E$153:$E$154)</f>
        <v>0</v>
      </c>
      <c r="N13" s="4">
        <f t="shared" si="0"/>
        <v>0</v>
      </c>
      <c r="O13" s="69">
        <f t="shared" si="2"/>
        <v>9180</v>
      </c>
    </row>
    <row r="14" spans="1:16" x14ac:dyDescent="0.25">
      <c r="B14" s="35" t="s">
        <v>23</v>
      </c>
      <c r="C14" s="4"/>
      <c r="D14" s="4"/>
      <c r="E14" s="4">
        <v>10000</v>
      </c>
      <c r="F14" s="4">
        <v>10000</v>
      </c>
      <c r="G14" s="27">
        <f t="shared" si="1"/>
        <v>0</v>
      </c>
      <c r="H14" s="101"/>
      <c r="I14" s="35" t="s">
        <v>14</v>
      </c>
      <c r="J14" s="4">
        <f>SUMIF($C$161:$C$162,J6,$E$161:$E$162)</f>
        <v>0</v>
      </c>
      <c r="K14" s="4">
        <f>SUMIF($C$161:$C$162,K6,$E$161:$E$162)</f>
        <v>0</v>
      </c>
      <c r="L14" s="4">
        <f>SUMIF($C$161:$C$162,L6,$E$161:$E$162)</f>
        <v>0</v>
      </c>
      <c r="M14" s="4">
        <f>SUMIF($C$161:$C$162,M6,$E$161:$E$162)</f>
        <v>0</v>
      </c>
      <c r="N14" s="4">
        <f t="shared" si="0"/>
        <v>0</v>
      </c>
      <c r="O14" s="69">
        <f t="shared" si="2"/>
        <v>0</v>
      </c>
    </row>
    <row r="15" spans="1:16" x14ac:dyDescent="0.25">
      <c r="B15" s="35" t="s">
        <v>16</v>
      </c>
      <c r="C15" s="4"/>
      <c r="D15" s="4"/>
      <c r="E15" s="4"/>
      <c r="F15" s="4">
        <v>2400</v>
      </c>
      <c r="G15" s="27">
        <f t="shared" si="1"/>
        <v>-2400</v>
      </c>
      <c r="H15" s="101"/>
      <c r="I15" s="35" t="s">
        <v>16</v>
      </c>
      <c r="J15" s="4">
        <f>SUMIF($C$169:$C$174,J6,$E$169:$E$174)</f>
        <v>0</v>
      </c>
      <c r="K15" s="4">
        <f>SUMIF($C$169:$C$174,K6,$E$169:$E$174)</f>
        <v>0</v>
      </c>
      <c r="L15" s="4">
        <f>SUMIF($C$169:$C$174,L6,$E$169:$E$174)</f>
        <v>0</v>
      </c>
      <c r="M15" s="4">
        <f>SUMIF($C$169:$C$174,M6,$E$169:$E$174)</f>
        <v>545</v>
      </c>
      <c r="N15" s="4">
        <f t="shared" si="0"/>
        <v>-545</v>
      </c>
      <c r="O15" s="69">
        <f t="shared" si="2"/>
        <v>1855</v>
      </c>
    </row>
    <row r="16" spans="1:16" x14ac:dyDescent="0.25">
      <c r="B16" s="35" t="s">
        <v>117</v>
      </c>
      <c r="C16" s="4"/>
      <c r="D16" s="4"/>
      <c r="E16" s="4"/>
      <c r="F16" s="4">
        <v>0</v>
      </c>
      <c r="G16" s="27">
        <f>SUM(C16:E16)-F16</f>
        <v>0</v>
      </c>
      <c r="H16" s="101"/>
      <c r="I16" s="35" t="s">
        <v>117</v>
      </c>
      <c r="J16" s="4">
        <f>SUMIF($C$181:$C$189,J6,$E$181:$E$189)</f>
        <v>0</v>
      </c>
      <c r="K16" s="4">
        <f>SUMIF($C$181:$C$189,K6,$E$181:$E$189)</f>
        <v>0</v>
      </c>
      <c r="L16" s="4">
        <f>SUMIF($C$181:$C$189,L6,$E$181:$E$189)</f>
        <v>5789</v>
      </c>
      <c r="M16" s="4">
        <f>SUMIF($C$181:$C$189,M6,$E$181:$E$189)</f>
        <v>17886.79</v>
      </c>
      <c r="N16" s="4">
        <f>SUM(J16:L16)-M16</f>
        <v>-12097.79</v>
      </c>
      <c r="O16" s="69">
        <f t="shared" si="2"/>
        <v>-12097.79</v>
      </c>
    </row>
    <row r="17" spans="1:15" x14ac:dyDescent="0.25">
      <c r="B17" s="35" t="s">
        <v>30</v>
      </c>
      <c r="C17" s="4"/>
      <c r="D17" s="4"/>
      <c r="E17" s="4">
        <v>50000</v>
      </c>
      <c r="F17" s="4">
        <v>35000</v>
      </c>
      <c r="G17" s="27">
        <f t="shared" si="1"/>
        <v>15000</v>
      </c>
      <c r="H17" s="101"/>
      <c r="I17" s="35" t="s">
        <v>30</v>
      </c>
      <c r="J17" s="4">
        <f>SUMIF($C$196:$C$204,J$6,$E$196:$E$204)</f>
        <v>0</v>
      </c>
      <c r="K17" s="4">
        <f>SUMIF($C$196:$C$204,K$6,$E$196:$E$204)</f>
        <v>0</v>
      </c>
      <c r="L17" s="4">
        <f>SUMIF($C$196:$C$204,L$6,$E$196:$E$204)</f>
        <v>82258.7</v>
      </c>
      <c r="M17" s="4">
        <f>SUMIF($C$196:$C$204,M6,$E$196:$E$204)</f>
        <v>73059.099999999991</v>
      </c>
      <c r="N17" s="4">
        <f t="shared" si="0"/>
        <v>9199.6000000000058</v>
      </c>
      <c r="O17" s="69">
        <f t="shared" si="2"/>
        <v>-5800.3999999999942</v>
      </c>
    </row>
    <row r="18" spans="1:15" x14ac:dyDescent="0.25">
      <c r="B18" s="35" t="s">
        <v>35</v>
      </c>
      <c r="C18" s="4"/>
      <c r="D18" s="4"/>
      <c r="E18" s="4"/>
      <c r="F18" s="4">
        <f>6000+820</f>
        <v>6820</v>
      </c>
      <c r="G18" s="27">
        <f t="shared" ref="G18" si="3">SUM(C18:E18)-F18</f>
        <v>-6820</v>
      </c>
      <c r="H18" s="101"/>
      <c r="I18" s="35" t="s">
        <v>35</v>
      </c>
      <c r="J18" s="4">
        <f>SUMIF($C$211:$C$213,J6,$E$211:$E$213)</f>
        <v>0</v>
      </c>
      <c r="K18" s="4">
        <f>SUMIF($C$211:$C$213,K6,$E$211:$E$213)</f>
        <v>0</v>
      </c>
      <c r="L18" s="4">
        <f>SUMIF($C$211:$C$213,L6,$E$211:$E$213)</f>
        <v>0</v>
      </c>
      <c r="M18" s="4">
        <f>SUMIF($C$211:$C$213,M6,$E$211:$E$213)</f>
        <v>7485</v>
      </c>
      <c r="N18" s="4">
        <f>SUM(J18:L18)-M18</f>
        <v>-7485</v>
      </c>
      <c r="O18" s="69"/>
    </row>
    <row r="19" spans="1:15" ht="15.75" thickBot="1" x14ac:dyDescent="0.3">
      <c r="B19" s="36" t="s">
        <v>24</v>
      </c>
      <c r="C19" s="24"/>
      <c r="D19" s="24"/>
      <c r="E19" s="24"/>
      <c r="F19" s="24"/>
      <c r="G19" s="37">
        <f>SUM(G7:G18)</f>
        <v>-21400</v>
      </c>
      <c r="I19" s="36" t="s">
        <v>24</v>
      </c>
      <c r="J19" s="24"/>
      <c r="K19" s="24"/>
      <c r="L19" s="24"/>
      <c r="M19" s="24"/>
      <c r="N19" s="24">
        <f>SUM(N7:N18)</f>
        <v>-8462.0569999999934</v>
      </c>
      <c r="O19" s="69">
        <f t="shared" si="2"/>
        <v>12937.943000000007</v>
      </c>
    </row>
    <row r="20" spans="1:15" ht="15.75" thickTop="1" x14ac:dyDescent="0.25">
      <c r="B20" s="38"/>
      <c r="C20" s="23"/>
      <c r="D20" s="23"/>
      <c r="E20" s="23"/>
      <c r="F20" s="23"/>
      <c r="G20" s="39"/>
      <c r="I20" s="38"/>
      <c r="J20" s="23"/>
      <c r="K20" s="23"/>
      <c r="L20" s="23"/>
      <c r="M20" s="23"/>
      <c r="N20" s="23"/>
      <c r="O20" s="14"/>
    </row>
    <row r="21" spans="1:15" ht="45.75" thickBot="1" x14ac:dyDescent="0.3">
      <c r="B21" s="40" t="s">
        <v>139</v>
      </c>
      <c r="C21" s="41">
        <f>SUM(C3:C4)+G19</f>
        <v>15984</v>
      </c>
      <c r="D21" s="42"/>
      <c r="E21" s="42"/>
      <c r="F21" s="42"/>
      <c r="G21" s="43"/>
      <c r="I21" s="67" t="s">
        <v>138</v>
      </c>
      <c r="J21" s="23">
        <f>C3+N19+C4</f>
        <v>28921.943000000007</v>
      </c>
      <c r="K21" s="70"/>
      <c r="L21" s="23"/>
      <c r="M21" s="23"/>
      <c r="N21" s="23"/>
      <c r="O21" s="14"/>
    </row>
    <row r="22" spans="1:15" x14ac:dyDescent="0.25">
      <c r="A22" s="74"/>
      <c r="B22" s="29"/>
      <c r="C22" s="23"/>
      <c r="D22" s="23"/>
      <c r="E22" s="23"/>
      <c r="F22" s="23"/>
      <c r="G22" s="66"/>
      <c r="I22" s="38"/>
      <c r="J22" s="23"/>
      <c r="K22" s="23"/>
      <c r="L22" s="23"/>
      <c r="M22" s="23"/>
      <c r="N22" s="23"/>
      <c r="O22" s="14"/>
    </row>
    <row r="23" spans="1:15" ht="30" x14ac:dyDescent="0.25">
      <c r="G23" s="23"/>
      <c r="I23" s="31" t="s">
        <v>34</v>
      </c>
      <c r="J23" s="23">
        <f>J24+J25</f>
        <v>28755.26</v>
      </c>
      <c r="K23" s="23"/>
      <c r="L23" s="23"/>
      <c r="M23" s="23"/>
      <c r="N23" s="23"/>
      <c r="O23" s="14"/>
    </row>
    <row r="24" spans="1:15" x14ac:dyDescent="0.25">
      <c r="B24" s="44"/>
      <c r="C24" s="30"/>
      <c r="D24" s="23"/>
      <c r="E24" s="23"/>
      <c r="F24" s="23"/>
      <c r="G24" s="23"/>
      <c r="I24" s="32" t="s">
        <v>11</v>
      </c>
      <c r="J24" s="4">
        <v>28755.26</v>
      </c>
      <c r="K24" s="23"/>
      <c r="L24" s="23"/>
      <c r="M24" s="23"/>
      <c r="N24" s="23"/>
      <c r="O24" s="14"/>
    </row>
    <row r="25" spans="1:15" x14ac:dyDescent="0.25">
      <c r="B25" s="44"/>
      <c r="C25" s="30"/>
      <c r="D25" s="23"/>
      <c r="E25" s="23"/>
      <c r="F25" s="23"/>
      <c r="G25" s="23"/>
      <c r="I25" s="32" t="s">
        <v>12</v>
      </c>
      <c r="J25" s="4">
        <v>0</v>
      </c>
      <c r="K25" s="23"/>
      <c r="L25" s="23"/>
      <c r="M25" s="23"/>
      <c r="N25" s="23"/>
      <c r="O25" s="14"/>
    </row>
    <row r="26" spans="1:15" x14ac:dyDescent="0.25">
      <c r="B26" s="44"/>
      <c r="C26" s="30"/>
      <c r="D26" s="23"/>
      <c r="E26" s="23"/>
      <c r="F26" s="23"/>
      <c r="G26" s="23"/>
      <c r="I26" s="32"/>
      <c r="J26" s="4"/>
      <c r="K26" s="23"/>
      <c r="L26" s="23"/>
      <c r="M26" s="23"/>
      <c r="N26" s="23"/>
      <c r="O26" s="14"/>
    </row>
    <row r="27" spans="1:15" x14ac:dyDescent="0.25">
      <c r="B27" s="44"/>
      <c r="C27" s="30"/>
      <c r="D27" s="23"/>
      <c r="E27" s="23"/>
      <c r="F27" s="23"/>
      <c r="G27" s="23"/>
      <c r="I27" s="75" t="s">
        <v>26</v>
      </c>
      <c r="J27" s="76">
        <f>SUM(J24:J25)-C21</f>
        <v>12771.259999999998</v>
      </c>
      <c r="K27" s="23"/>
      <c r="L27" s="23"/>
      <c r="M27" s="23"/>
      <c r="N27" s="23"/>
      <c r="O27" s="14"/>
    </row>
    <row r="28" spans="1:15" ht="15" customHeight="1" thickBot="1" x14ac:dyDescent="0.3">
      <c r="B28" s="44"/>
      <c r="C28" s="30"/>
      <c r="D28" s="23"/>
      <c r="E28" s="23"/>
      <c r="F28" s="23"/>
      <c r="G28" s="23"/>
      <c r="I28" s="45" t="s">
        <v>44</v>
      </c>
      <c r="J28" s="46">
        <f>J23-J21</f>
        <v>-166.68300000000818</v>
      </c>
      <c r="K28" s="42"/>
      <c r="L28" s="42"/>
      <c r="M28" s="42"/>
      <c r="N28" s="42"/>
      <c r="O28" s="19"/>
    </row>
    <row r="29" spans="1:15" ht="15.75" thickBot="1" x14ac:dyDescent="0.3">
      <c r="B29" s="29"/>
      <c r="C29" s="23"/>
      <c r="D29" s="23"/>
      <c r="E29" s="23"/>
      <c r="F29" s="23"/>
      <c r="G29" s="23"/>
      <c r="I29" s="25"/>
      <c r="J29" s="4"/>
      <c r="K29" s="23"/>
      <c r="L29" s="23"/>
      <c r="M29" s="23"/>
      <c r="N29" s="23"/>
    </row>
    <row r="30" spans="1:15" ht="18.75" x14ac:dyDescent="0.3">
      <c r="B30" s="8" t="s">
        <v>1</v>
      </c>
      <c r="C30" s="10"/>
      <c r="D30" s="3"/>
      <c r="E30" s="3"/>
      <c r="F30" s="3"/>
      <c r="G30" s="3"/>
      <c r="I30" s="68" t="s">
        <v>123</v>
      </c>
      <c r="J30" s="66"/>
      <c r="K30" s="66"/>
      <c r="L30" s="66"/>
      <c r="M30" s="9"/>
      <c r="N30" s="9"/>
      <c r="O30" s="10"/>
    </row>
    <row r="31" spans="1:15" x14ac:dyDescent="0.25">
      <c r="B31" s="65" t="s">
        <v>19</v>
      </c>
      <c r="C31" s="39" t="s">
        <v>18</v>
      </c>
      <c r="D31" s="3"/>
      <c r="E31" s="3"/>
      <c r="F31" s="20"/>
      <c r="G31" s="3"/>
      <c r="I31" s="13" t="s">
        <v>37</v>
      </c>
      <c r="J31" s="4" t="str">
        <f>IF(SUMIF($C$45:$C$213,$J$6,$E$45:$E$213)-SUM($J$7:$J$18)=0,"Ja","Nej")</f>
        <v>Ja</v>
      </c>
      <c r="K31" s="3"/>
      <c r="L31" s="3"/>
      <c r="M31" s="3"/>
      <c r="N31" s="3"/>
      <c r="O31" s="14"/>
    </row>
    <row r="32" spans="1:15" x14ac:dyDescent="0.25">
      <c r="B32" s="52" t="s">
        <v>81</v>
      </c>
      <c r="C32" s="27"/>
      <c r="D32" s="3"/>
      <c r="E32" s="3"/>
      <c r="F32" s="20"/>
      <c r="G32" s="3"/>
      <c r="I32" s="13" t="s">
        <v>38</v>
      </c>
      <c r="J32" s="4" t="str">
        <f>IF(SUMIF($C$45:$C$213,$K$6,$E$45:$E$213)-SUM($K$7:$K$18)=0,"Ja","Nej")</f>
        <v>Nej</v>
      </c>
      <c r="K32" s="3"/>
      <c r="L32" s="3"/>
      <c r="M32" s="3"/>
      <c r="N32" s="3"/>
      <c r="O32" s="14"/>
    </row>
    <row r="33" spans="2:15" x14ac:dyDescent="0.25">
      <c r="B33" s="52" t="s">
        <v>82</v>
      </c>
      <c r="C33" s="27"/>
      <c r="D33" s="3"/>
      <c r="E33" s="3"/>
      <c r="F33" s="20"/>
      <c r="G33" s="3"/>
      <c r="I33" s="13"/>
      <c r="J33" s="4"/>
      <c r="K33" s="3"/>
      <c r="L33" s="3"/>
      <c r="M33" s="3"/>
      <c r="N33" s="3"/>
      <c r="O33" s="14"/>
    </row>
    <row r="34" spans="2:15" x14ac:dyDescent="0.25">
      <c r="B34" s="52" t="s">
        <v>83</v>
      </c>
      <c r="C34" s="27">
        <v>9630</v>
      </c>
      <c r="D34" s="3"/>
      <c r="E34" s="3"/>
      <c r="F34" s="20"/>
      <c r="G34" s="3"/>
      <c r="I34" s="13"/>
      <c r="J34" s="4"/>
      <c r="K34" s="3"/>
      <c r="L34" s="3"/>
      <c r="M34" s="3"/>
      <c r="N34" s="3"/>
      <c r="O34" s="14"/>
    </row>
    <row r="35" spans="2:15" x14ac:dyDescent="0.25">
      <c r="B35" s="52" t="s">
        <v>84</v>
      </c>
      <c r="C35" s="27">
        <v>10110</v>
      </c>
      <c r="D35" s="3"/>
      <c r="E35" s="3"/>
      <c r="F35" s="20"/>
      <c r="G35" s="3"/>
      <c r="I35" s="13" t="s">
        <v>39</v>
      </c>
      <c r="J35" s="4" t="str">
        <f>IF(SUMIF($C$45:$C$213,$L$6,$E$45:$E$213)-SUM($L$7:$L$18)=0,"Ja","Nej")</f>
        <v>Ja</v>
      </c>
      <c r="K35" s="3"/>
      <c r="L35" s="3"/>
      <c r="M35" s="3"/>
      <c r="N35" s="3"/>
      <c r="O35" s="14"/>
    </row>
    <row r="36" spans="2:15" ht="15.75" thickBot="1" x14ac:dyDescent="0.3">
      <c r="B36" s="52" t="s">
        <v>85</v>
      </c>
      <c r="C36" s="27">
        <v>12180</v>
      </c>
      <c r="D36" s="3"/>
      <c r="E36" s="3"/>
      <c r="F36" s="20"/>
      <c r="G36" s="3"/>
      <c r="I36" s="22" t="s">
        <v>40</v>
      </c>
      <c r="J36" s="18" t="str">
        <f>IF((SUMIF($C$45:$C$213,$M$6,$E$45:$E$213)-SUM($M$7:$M$18))=0,"Ja","Nej")</f>
        <v>Nej</v>
      </c>
      <c r="K36" s="17"/>
      <c r="L36" s="17"/>
      <c r="M36" s="17"/>
      <c r="N36" s="17"/>
      <c r="O36" s="19"/>
    </row>
    <row r="37" spans="2:15" x14ac:dyDescent="0.25">
      <c r="B37" s="52" t="s">
        <v>86</v>
      </c>
      <c r="C37" s="27">
        <v>6810</v>
      </c>
      <c r="D37" s="3"/>
      <c r="E37" s="3"/>
      <c r="F37" s="20"/>
      <c r="G37" s="3"/>
    </row>
    <row r="38" spans="2:15" x14ac:dyDescent="0.25">
      <c r="B38" s="52" t="s">
        <v>87</v>
      </c>
      <c r="C38" s="27">
        <v>6690</v>
      </c>
      <c r="D38" s="3"/>
      <c r="E38" s="3"/>
      <c r="F38" s="20"/>
      <c r="G38" s="3"/>
    </row>
    <row r="39" spans="2:15" x14ac:dyDescent="0.25">
      <c r="B39" s="52" t="s">
        <v>88</v>
      </c>
      <c r="C39" s="27">
        <v>7290</v>
      </c>
      <c r="D39" s="3"/>
      <c r="E39" s="3"/>
      <c r="F39" s="20"/>
      <c r="G39" s="3"/>
    </row>
    <row r="40" spans="2:15" x14ac:dyDescent="0.25">
      <c r="B40" s="52" t="s">
        <v>36</v>
      </c>
      <c r="C40" s="27">
        <v>7200</v>
      </c>
      <c r="D40" s="3"/>
      <c r="E40" s="3"/>
      <c r="F40" s="20"/>
      <c r="G40" s="3"/>
    </row>
    <row r="41" spans="2:15" x14ac:dyDescent="0.25">
      <c r="B41" s="52" t="s">
        <v>43</v>
      </c>
      <c r="C41" s="27"/>
      <c r="D41" s="3"/>
      <c r="E41" s="3"/>
      <c r="F41" s="20"/>
      <c r="G41" s="3"/>
    </row>
    <row r="42" spans="2:15" x14ac:dyDescent="0.25">
      <c r="B42" s="52" t="s">
        <v>41</v>
      </c>
      <c r="C42" s="27">
        <f>7140+780</f>
        <v>7920</v>
      </c>
      <c r="D42" s="3"/>
      <c r="E42" s="3"/>
      <c r="F42" s="20"/>
      <c r="G42" s="3"/>
    </row>
    <row r="43" spans="2:15" ht="15.75" thickBot="1" x14ac:dyDescent="0.3">
      <c r="B43" s="22" t="s">
        <v>42</v>
      </c>
      <c r="C43" s="53"/>
      <c r="D43" s="3"/>
      <c r="E43" s="4"/>
      <c r="F43" s="20"/>
      <c r="G43" s="3"/>
    </row>
    <row r="44" spans="2:15" ht="15.75" thickBot="1" x14ac:dyDescent="0.3">
      <c r="B44" s="29"/>
      <c r="C44" s="23"/>
      <c r="D44" s="23"/>
      <c r="E44" s="23"/>
      <c r="F44" s="23"/>
      <c r="G44" s="23"/>
    </row>
    <row r="45" spans="2:15" ht="18.75" x14ac:dyDescent="0.3">
      <c r="B45" s="8" t="s">
        <v>6</v>
      </c>
      <c r="C45" s="77"/>
      <c r="D45" s="85"/>
      <c r="E45" s="9"/>
      <c r="F45" s="9"/>
      <c r="G45" s="10"/>
      <c r="I45" s="29"/>
      <c r="J45" s="23"/>
      <c r="K45" s="23"/>
      <c r="L45" s="23"/>
      <c r="M45" s="23"/>
      <c r="N45" s="23"/>
    </row>
    <row r="46" spans="2:15" x14ac:dyDescent="0.25">
      <c r="B46" s="11" t="s">
        <v>101</v>
      </c>
      <c r="C46" s="88" t="s">
        <v>29</v>
      </c>
      <c r="D46" s="88" t="s">
        <v>102</v>
      </c>
      <c r="E46" s="88" t="s">
        <v>15</v>
      </c>
      <c r="F46" s="3"/>
      <c r="G46" s="14"/>
      <c r="I46" s="29"/>
      <c r="J46" s="23"/>
      <c r="K46" s="23"/>
      <c r="L46" s="23"/>
      <c r="M46" s="23"/>
      <c r="N46" s="23"/>
    </row>
    <row r="47" spans="2:15" x14ac:dyDescent="0.25">
      <c r="B47" s="91">
        <f>-VLOOKUP($B45,$B$7:$G$18,6,FALSE)</f>
        <v>4000</v>
      </c>
      <c r="C47" s="92">
        <f>SUMIF($C$50:$C$52,'Drop-down'!$A$2,$E$50:$E$52)+SUMIF($C$50:$C$52,'Drop-down'!$A$3,$E$50:$E$52)+SUMIF($C$50:$C$52,'Drop-down'!$A$4,$E$50:$E$52)</f>
        <v>0</v>
      </c>
      <c r="D47" s="92">
        <f>SUMIF($C$50:$C$52,'Drop-down'!$A$5,$E$50:$E$52)</f>
        <v>1004.7</v>
      </c>
      <c r="E47" s="93">
        <f>C47-D47</f>
        <v>-1004.7</v>
      </c>
      <c r="F47" s="3"/>
      <c r="G47" s="14"/>
      <c r="I47" s="29"/>
      <c r="J47" s="23"/>
      <c r="K47" s="23"/>
      <c r="L47" s="23"/>
      <c r="M47" s="23"/>
      <c r="N47" s="23"/>
    </row>
    <row r="48" spans="2:15" ht="18.75" x14ac:dyDescent="0.3">
      <c r="B48" s="86"/>
      <c r="C48" s="5"/>
      <c r="D48" s="87"/>
      <c r="E48" s="3"/>
      <c r="F48" s="3"/>
      <c r="G48" s="14"/>
      <c r="I48" s="29"/>
      <c r="J48" s="23"/>
      <c r="K48" s="23"/>
      <c r="L48" s="23"/>
      <c r="M48" s="23"/>
      <c r="N48" s="23"/>
    </row>
    <row r="49" spans="2:7" ht="15" customHeight="1" x14ac:dyDescent="0.25">
      <c r="B49" s="11" t="s">
        <v>19</v>
      </c>
      <c r="C49" s="3" t="s">
        <v>9</v>
      </c>
      <c r="D49" s="5"/>
      <c r="E49" s="5" t="s">
        <v>18</v>
      </c>
      <c r="F49" s="3" t="s">
        <v>21</v>
      </c>
      <c r="G49" s="14" t="s">
        <v>28</v>
      </c>
    </row>
    <row r="50" spans="2:7" x14ac:dyDescent="0.25">
      <c r="B50" s="13" t="s">
        <v>27</v>
      </c>
      <c r="C50" s="3" t="s">
        <v>22</v>
      </c>
      <c r="D50" s="3"/>
      <c r="E50" s="60">
        <v>1004.7</v>
      </c>
      <c r="F50" s="20">
        <v>2686896</v>
      </c>
      <c r="G50" s="14"/>
    </row>
    <row r="51" spans="2:7" x14ac:dyDescent="0.25">
      <c r="B51" s="13"/>
      <c r="C51" s="3"/>
      <c r="D51" s="3"/>
      <c r="E51" s="60"/>
      <c r="F51" s="20"/>
      <c r="G51" s="14"/>
    </row>
    <row r="52" spans="2:7" ht="15.75" thickBot="1" x14ac:dyDescent="0.3">
      <c r="B52" s="22"/>
      <c r="C52" s="17"/>
      <c r="D52" s="17"/>
      <c r="E52" s="61"/>
      <c r="F52" s="28"/>
      <c r="G52" s="19"/>
    </row>
    <row r="53" spans="2:7" ht="15.75" thickBot="1" x14ac:dyDescent="0.3">
      <c r="B53" s="3"/>
      <c r="C53" s="4"/>
      <c r="D53" s="4"/>
      <c r="E53" s="4"/>
      <c r="F53" s="3"/>
      <c r="G53" s="3"/>
    </row>
    <row r="54" spans="2:7" ht="18.75" x14ac:dyDescent="0.3">
      <c r="B54" s="8" t="s">
        <v>4</v>
      </c>
      <c r="C54" s="77"/>
      <c r="D54" s="85"/>
      <c r="E54" s="9"/>
      <c r="F54" s="9"/>
      <c r="G54" s="10"/>
    </row>
    <row r="55" spans="2:7" x14ac:dyDescent="0.25">
      <c r="B55" s="11" t="s">
        <v>101</v>
      </c>
      <c r="C55" s="88" t="s">
        <v>29</v>
      </c>
      <c r="D55" s="88" t="s">
        <v>102</v>
      </c>
      <c r="E55" s="88" t="s">
        <v>15</v>
      </c>
      <c r="F55" s="3"/>
      <c r="G55" s="14"/>
    </row>
    <row r="56" spans="2:7" x14ac:dyDescent="0.25">
      <c r="B56" s="91">
        <f>-VLOOKUP($B54,$B$7:$G$18,6,FALSE)</f>
        <v>30000</v>
      </c>
      <c r="C56" s="92">
        <f>SUMIF($C$59:$C$66,'Drop-down'!$A$2,$E$59:$E$66)+SUMIF($C$59:$C$66,'Drop-down'!$A$3,$E$59:$E$66)+SUMIF($C$59:$C$66,'Drop-down'!$A$4,$E$59:$E$66)</f>
        <v>59503.832999999999</v>
      </c>
      <c r="D56" s="92">
        <f>SUMIF($C$59:$C$66,'Drop-down'!$A$5,$E$59:$E$66)</f>
        <v>99655</v>
      </c>
      <c r="E56" s="93">
        <f>C56-D56</f>
        <v>-40151.167000000001</v>
      </c>
      <c r="F56" s="3"/>
      <c r="G56" s="14"/>
    </row>
    <row r="57" spans="2:7" ht="18.75" x14ac:dyDescent="0.3">
      <c r="B57" s="86"/>
      <c r="C57" s="5"/>
      <c r="D57" s="87"/>
      <c r="E57" s="3"/>
      <c r="F57" s="3"/>
      <c r="G57" s="14"/>
    </row>
    <row r="58" spans="2:7" x14ac:dyDescent="0.25">
      <c r="B58" s="11" t="s">
        <v>19</v>
      </c>
      <c r="C58" s="3" t="s">
        <v>9</v>
      </c>
      <c r="D58" s="5"/>
      <c r="E58" s="5" t="s">
        <v>18</v>
      </c>
      <c r="F58" s="3" t="s">
        <v>21</v>
      </c>
      <c r="G58" s="14" t="s">
        <v>28</v>
      </c>
    </row>
    <row r="59" spans="2:7" x14ac:dyDescent="0.25">
      <c r="B59" s="51" t="s">
        <v>79</v>
      </c>
      <c r="C59" s="3" t="s">
        <v>22</v>
      </c>
      <c r="D59" s="5"/>
      <c r="E59" s="60">
        <v>25312.5</v>
      </c>
      <c r="F59" s="3">
        <v>2813044</v>
      </c>
      <c r="G59" s="12" t="s">
        <v>80</v>
      </c>
    </row>
    <row r="60" spans="2:7" x14ac:dyDescent="0.25">
      <c r="B60" s="51" t="s">
        <v>106</v>
      </c>
      <c r="C60" s="3" t="s">
        <v>22</v>
      </c>
      <c r="D60" s="5"/>
      <c r="E60" s="60">
        <v>-25312.5</v>
      </c>
      <c r="F60" s="3" t="s">
        <v>11</v>
      </c>
      <c r="G60" s="12"/>
    </row>
    <row r="61" spans="2:7" x14ac:dyDescent="0.25">
      <c r="B61" s="51" t="s">
        <v>107</v>
      </c>
      <c r="C61" s="47" t="s">
        <v>22</v>
      </c>
      <c r="D61" s="5"/>
      <c r="E61" s="60">
        <v>1650</v>
      </c>
      <c r="F61" s="3" t="s">
        <v>108</v>
      </c>
      <c r="G61" s="12"/>
    </row>
    <row r="62" spans="2:7" x14ac:dyDescent="0.25">
      <c r="B62" s="51" t="s">
        <v>105</v>
      </c>
      <c r="C62" s="3" t="s">
        <v>20</v>
      </c>
      <c r="D62" s="5"/>
      <c r="E62" s="60">
        <f>60100-596.167</f>
        <v>59503.832999999999</v>
      </c>
      <c r="F62" s="3" t="s">
        <v>130</v>
      </c>
      <c r="G62" s="12"/>
    </row>
    <row r="63" spans="2:7" x14ac:dyDescent="0.25">
      <c r="B63" s="51" t="s">
        <v>109</v>
      </c>
      <c r="C63" s="47" t="s">
        <v>22</v>
      </c>
      <c r="D63" s="5"/>
      <c r="E63" s="60">
        <v>97537.5</v>
      </c>
      <c r="F63" s="47" t="s">
        <v>133</v>
      </c>
      <c r="G63" s="12"/>
    </row>
    <row r="64" spans="2:7" x14ac:dyDescent="0.25">
      <c r="B64" s="51" t="s">
        <v>110</v>
      </c>
      <c r="C64" s="47" t="s">
        <v>22</v>
      </c>
      <c r="D64" s="5"/>
      <c r="E64" s="60">
        <v>442.5</v>
      </c>
      <c r="F64" s="95" t="s">
        <v>111</v>
      </c>
      <c r="G64" s="12"/>
    </row>
    <row r="65" spans="2:11" x14ac:dyDescent="0.25">
      <c r="B65" s="51" t="s">
        <v>113</v>
      </c>
      <c r="C65" s="47" t="s">
        <v>22</v>
      </c>
      <c r="D65" s="5"/>
      <c r="E65" s="60">
        <v>25</v>
      </c>
      <c r="F65" s="3" t="s">
        <v>114</v>
      </c>
      <c r="G65" s="12"/>
    </row>
    <row r="66" spans="2:11" ht="15.75" thickBot="1" x14ac:dyDescent="0.3">
      <c r="B66" s="22"/>
      <c r="C66" s="17"/>
      <c r="D66" s="17"/>
      <c r="E66" s="18"/>
      <c r="F66" s="28"/>
      <c r="G66" s="19"/>
      <c r="J66" s="73"/>
    </row>
    <row r="67" spans="2:11" ht="15.75" thickBot="1" x14ac:dyDescent="0.3">
      <c r="B67" s="3"/>
      <c r="C67" s="4"/>
      <c r="D67" s="4"/>
      <c r="E67" s="4"/>
      <c r="F67" s="3"/>
      <c r="G67" s="3"/>
    </row>
    <row r="68" spans="2:11" ht="18.75" x14ac:dyDescent="0.3">
      <c r="B68" s="8" t="s">
        <v>3</v>
      </c>
      <c r="C68" s="77"/>
      <c r="D68" s="85"/>
      <c r="E68" s="9"/>
      <c r="F68" s="9"/>
      <c r="G68" s="10"/>
      <c r="I68" s="73"/>
    </row>
    <row r="69" spans="2:11" x14ac:dyDescent="0.25">
      <c r="B69" s="11" t="s">
        <v>101</v>
      </c>
      <c r="C69" s="88" t="s">
        <v>29</v>
      </c>
      <c r="D69" s="88" t="s">
        <v>102</v>
      </c>
      <c r="E69" s="88" t="s">
        <v>15</v>
      </c>
      <c r="F69" s="3"/>
      <c r="G69" s="14"/>
    </row>
    <row r="70" spans="2:11" x14ac:dyDescent="0.25">
      <c r="B70" s="91">
        <f>-VLOOKUP($B68,$B$7:$G$18,6,FALSE)</f>
        <v>30000</v>
      </c>
      <c r="C70" s="92">
        <f>SUMIF($C$73:$C$79,'Drop-down'!$A$2,$E$73:$E$79)+SUMIF($C$73:$C$79,'Drop-down'!$A$3,$E$73:$E$79)+SUMIF($C$73:$C$79,'Drop-down'!$A$4,$E$73:$E$79)</f>
        <v>55288.25</v>
      </c>
      <c r="D70" s="92">
        <f>SUMIF($C$73:$C$79,'Drop-down'!$A$5,$E$73:$E$79)</f>
        <v>75800</v>
      </c>
      <c r="E70" s="93">
        <f>C70-D70</f>
        <v>-20511.75</v>
      </c>
      <c r="F70" s="3"/>
      <c r="G70" s="14"/>
    </row>
    <row r="71" spans="2:11" ht="18.75" x14ac:dyDescent="0.3">
      <c r="B71" s="86"/>
      <c r="C71" s="5"/>
      <c r="D71" s="87"/>
      <c r="E71" s="3"/>
      <c r="F71" s="3"/>
      <c r="G71" s="14"/>
    </row>
    <row r="72" spans="2:11" x14ac:dyDescent="0.25">
      <c r="B72" s="11" t="s">
        <v>19</v>
      </c>
      <c r="C72" s="3" t="s">
        <v>9</v>
      </c>
      <c r="D72" s="5"/>
      <c r="E72" s="5" t="s">
        <v>18</v>
      </c>
      <c r="F72" s="3" t="s">
        <v>21</v>
      </c>
      <c r="G72" s="14" t="s">
        <v>28</v>
      </c>
    </row>
    <row r="73" spans="2:11" x14ac:dyDescent="0.25">
      <c r="B73" s="51" t="s">
        <v>103</v>
      </c>
      <c r="C73" s="3" t="s">
        <v>22</v>
      </c>
      <c r="D73" s="55"/>
      <c r="E73" s="60">
        <v>75425</v>
      </c>
      <c r="F73" s="55" t="s">
        <v>104</v>
      </c>
      <c r="G73" s="12"/>
    </row>
    <row r="74" spans="2:11" x14ac:dyDescent="0.25">
      <c r="B74" s="32" t="s">
        <v>105</v>
      </c>
      <c r="C74" s="55" t="s">
        <v>20</v>
      </c>
      <c r="D74" s="55"/>
      <c r="E74" s="60">
        <f>55425-136.75</f>
        <v>55288.25</v>
      </c>
      <c r="F74" s="55" t="s">
        <v>130</v>
      </c>
      <c r="G74" s="12"/>
      <c r="K74" s="2"/>
    </row>
    <row r="75" spans="2:11" x14ac:dyDescent="0.25">
      <c r="B75" s="51" t="s">
        <v>134</v>
      </c>
      <c r="C75" s="6" t="s">
        <v>22</v>
      </c>
      <c r="D75" s="6"/>
      <c r="E75" s="60">
        <v>375</v>
      </c>
      <c r="F75" s="6" t="s">
        <v>11</v>
      </c>
      <c r="G75" s="12"/>
      <c r="I75" s="2"/>
    </row>
    <row r="76" spans="2:11" x14ac:dyDescent="0.25">
      <c r="B76" s="51"/>
      <c r="C76" s="3"/>
      <c r="D76" s="3"/>
      <c r="E76" s="60"/>
      <c r="F76" s="3"/>
      <c r="G76" s="12"/>
    </row>
    <row r="77" spans="2:11" x14ac:dyDescent="0.25">
      <c r="B77" s="51"/>
      <c r="C77" s="6"/>
      <c r="D77" s="6"/>
      <c r="E77" s="60"/>
      <c r="F77" s="55"/>
      <c r="G77" s="12"/>
    </row>
    <row r="78" spans="2:11" x14ac:dyDescent="0.25">
      <c r="B78" s="51"/>
      <c r="C78" s="6"/>
      <c r="D78" s="6"/>
      <c r="E78" s="60"/>
      <c r="F78" s="55"/>
      <c r="G78" s="12"/>
    </row>
    <row r="79" spans="2:11" ht="15.75" thickBot="1" x14ac:dyDescent="0.3">
      <c r="B79" s="54"/>
      <c r="C79" s="56"/>
      <c r="D79" s="56"/>
      <c r="E79" s="57"/>
      <c r="F79" s="58"/>
      <c r="G79" s="59"/>
    </row>
    <row r="80" spans="2:11" ht="15.75" thickBot="1" x14ac:dyDescent="0.3">
      <c r="B80" s="3"/>
      <c r="C80" s="4"/>
      <c r="D80" s="4"/>
      <c r="E80" s="4"/>
      <c r="F80" s="3"/>
      <c r="G80" s="3"/>
    </row>
    <row r="81" spans="2:8" ht="18.75" x14ac:dyDescent="0.3">
      <c r="B81" s="8" t="s">
        <v>2</v>
      </c>
      <c r="C81" s="77"/>
      <c r="D81" s="85"/>
      <c r="E81" s="9"/>
      <c r="F81" s="9"/>
      <c r="G81" s="10"/>
    </row>
    <row r="82" spans="2:8" x14ac:dyDescent="0.25">
      <c r="B82" s="11" t="s">
        <v>101</v>
      </c>
      <c r="C82" s="88" t="s">
        <v>29</v>
      </c>
      <c r="D82" s="88" t="s">
        <v>102</v>
      </c>
      <c r="E82" s="88" t="s">
        <v>15</v>
      </c>
      <c r="F82" s="88"/>
      <c r="G82" s="90"/>
    </row>
    <row r="83" spans="2:8" x14ac:dyDescent="0.25">
      <c r="B83" s="91">
        <f>-VLOOKUP($B81,$B$7:$G$18,6,FALSE)</f>
        <v>10000</v>
      </c>
      <c r="C83" s="92">
        <f>SUMIF($C$87:$C$135,'Drop-down'!$A$2,$E$87:$E$135)+SUMIF($C$87:$C$135,'Drop-down'!$A$3,$E$87:$E$135)+SUMIF($C$87:$C$135,'Drop-down'!$A$4,$E$87:$E$135)</f>
        <v>17602.650000000001</v>
      </c>
      <c r="D83" s="92">
        <f>SUMIF($C$87:$C$135,'Drop-down'!$A$5,$E$87:$E$135)</f>
        <v>21298.9</v>
      </c>
      <c r="E83" s="93">
        <f>C83-D83</f>
        <v>-3696.25</v>
      </c>
      <c r="F83" s="49"/>
      <c r="G83" s="14"/>
    </row>
    <row r="84" spans="2:8" ht="18.75" x14ac:dyDescent="0.3">
      <c r="B84" s="86"/>
      <c r="C84" s="5"/>
      <c r="D84" s="87"/>
      <c r="E84" s="3"/>
      <c r="F84" s="3"/>
      <c r="G84" s="14"/>
    </row>
    <row r="85" spans="2:8" x14ac:dyDescent="0.25">
      <c r="B85" s="11" t="s">
        <v>19</v>
      </c>
      <c r="C85" s="88" t="s">
        <v>9</v>
      </c>
      <c r="D85" s="89"/>
      <c r="E85" s="89" t="s">
        <v>18</v>
      </c>
      <c r="F85" s="88" t="s">
        <v>21</v>
      </c>
      <c r="G85" s="90" t="s">
        <v>28</v>
      </c>
    </row>
    <row r="86" spans="2:8" x14ac:dyDescent="0.25">
      <c r="B86" s="97">
        <v>2023</v>
      </c>
      <c r="C86" s="88"/>
      <c r="D86" s="89"/>
      <c r="E86" s="89"/>
      <c r="F86" s="88"/>
      <c r="G86" s="90"/>
    </row>
    <row r="87" spans="2:8" x14ac:dyDescent="0.25">
      <c r="B87" s="13" t="s">
        <v>48</v>
      </c>
      <c r="C87" s="47" t="s">
        <v>22</v>
      </c>
      <c r="D87" s="3"/>
      <c r="E87" s="60">
        <v>4455.8500000000004</v>
      </c>
      <c r="F87" s="103">
        <v>2719014</v>
      </c>
      <c r="G87" s="83" t="s">
        <v>140</v>
      </c>
    </row>
    <row r="88" spans="2:8" x14ac:dyDescent="0.25">
      <c r="B88" s="13" t="s">
        <v>49</v>
      </c>
      <c r="C88" s="47" t="s">
        <v>22</v>
      </c>
      <c r="D88" s="3"/>
      <c r="E88" s="60">
        <v>399.5</v>
      </c>
      <c r="F88" s="103">
        <v>2722716</v>
      </c>
      <c r="G88" s="83" t="s">
        <v>141</v>
      </c>
    </row>
    <row r="89" spans="2:8" x14ac:dyDescent="0.25">
      <c r="B89" s="13" t="s">
        <v>50</v>
      </c>
      <c r="C89" s="47" t="s">
        <v>22</v>
      </c>
      <c r="D89" s="3"/>
      <c r="E89" s="60">
        <v>177.75</v>
      </c>
      <c r="F89" s="103">
        <v>2722717</v>
      </c>
      <c r="G89" s="83" t="s">
        <v>142</v>
      </c>
    </row>
    <row r="90" spans="2:8" x14ac:dyDescent="0.25">
      <c r="B90" s="15" t="s">
        <v>51</v>
      </c>
      <c r="C90" s="47" t="s">
        <v>22</v>
      </c>
      <c r="D90" s="3"/>
      <c r="E90" s="60">
        <v>945</v>
      </c>
      <c r="F90" s="103">
        <v>2722718</v>
      </c>
      <c r="G90" s="83" t="s">
        <v>143</v>
      </c>
      <c r="H90" s="3"/>
    </row>
    <row r="91" spans="2:8" x14ac:dyDescent="0.25">
      <c r="B91" s="15" t="s">
        <v>52</v>
      </c>
      <c r="C91" s="47" t="s">
        <v>22</v>
      </c>
      <c r="D91" s="3"/>
      <c r="E91" s="60">
        <f>1126.35-E92-E93-E94</f>
        <v>771.84999999999991</v>
      </c>
      <c r="F91" s="104">
        <v>2739194</v>
      </c>
      <c r="G91" s="83" t="s">
        <v>145</v>
      </c>
      <c r="H91" s="3"/>
    </row>
    <row r="92" spans="2:8" x14ac:dyDescent="0.25">
      <c r="B92" s="15" t="s">
        <v>53</v>
      </c>
      <c r="C92" s="47" t="s">
        <v>22</v>
      </c>
      <c r="D92" s="47"/>
      <c r="E92" s="60">
        <v>62.5</v>
      </c>
      <c r="F92" s="104">
        <v>2739191</v>
      </c>
      <c r="G92" s="83" t="s">
        <v>144</v>
      </c>
      <c r="H92" s="3"/>
    </row>
    <row r="93" spans="2:8" x14ac:dyDescent="0.25">
      <c r="B93" s="15" t="s">
        <v>54</v>
      </c>
      <c r="C93" s="47" t="s">
        <v>22</v>
      </c>
      <c r="D93" s="47"/>
      <c r="E93" s="60">
        <v>178</v>
      </c>
      <c r="F93" s="104">
        <v>2739192</v>
      </c>
      <c r="G93" s="83" t="s">
        <v>146</v>
      </c>
      <c r="H93" s="3"/>
    </row>
    <row r="94" spans="2:8" ht="15.75" customHeight="1" x14ac:dyDescent="0.25">
      <c r="B94" s="15" t="s">
        <v>55</v>
      </c>
      <c r="C94" s="47" t="s">
        <v>22</v>
      </c>
      <c r="D94" s="47"/>
      <c r="E94" s="60">
        <v>114</v>
      </c>
      <c r="F94" s="104">
        <v>2739193</v>
      </c>
      <c r="G94" s="83" t="s">
        <v>147</v>
      </c>
      <c r="H94" s="3"/>
    </row>
    <row r="95" spans="2:8" ht="15.75" customHeight="1" x14ac:dyDescent="0.25">
      <c r="B95" s="105" t="s">
        <v>135</v>
      </c>
      <c r="C95" s="106" t="s">
        <v>20</v>
      </c>
      <c r="D95" s="106"/>
      <c r="E95" s="107">
        <v>234.95</v>
      </c>
      <c r="F95" s="104" t="s">
        <v>11</v>
      </c>
      <c r="G95" s="14" t="s">
        <v>148</v>
      </c>
      <c r="H95" s="3"/>
    </row>
    <row r="96" spans="2:8" x14ac:dyDescent="0.25">
      <c r="B96" s="15" t="s">
        <v>56</v>
      </c>
      <c r="C96" s="47" t="s">
        <v>22</v>
      </c>
      <c r="D96" s="47"/>
      <c r="E96" s="60">
        <v>550</v>
      </c>
      <c r="F96" s="104">
        <v>2739210</v>
      </c>
      <c r="G96" s="83" t="s">
        <v>149</v>
      </c>
      <c r="H96" s="3"/>
    </row>
    <row r="97" spans="2:8" x14ac:dyDescent="0.25">
      <c r="B97" s="15" t="s">
        <v>57</v>
      </c>
      <c r="C97" s="47" t="s">
        <v>22</v>
      </c>
      <c r="D97" s="47"/>
      <c r="E97" s="60">
        <v>199.75</v>
      </c>
      <c r="F97" s="104">
        <v>2739209</v>
      </c>
      <c r="G97" s="83" t="s">
        <v>154</v>
      </c>
    </row>
    <row r="98" spans="2:8" x14ac:dyDescent="0.25">
      <c r="B98" s="15" t="s">
        <v>58</v>
      </c>
      <c r="C98" s="47" t="s">
        <v>22</v>
      </c>
      <c r="D98" s="47"/>
      <c r="E98" s="60">
        <v>312.5</v>
      </c>
      <c r="F98" s="104">
        <v>2739212</v>
      </c>
      <c r="G98" s="83" t="s">
        <v>150</v>
      </c>
    </row>
    <row r="99" spans="2:8" x14ac:dyDescent="0.25">
      <c r="B99" s="15" t="s">
        <v>59</v>
      </c>
      <c r="C99" s="47" t="s">
        <v>22</v>
      </c>
      <c r="D99" s="47"/>
      <c r="E99" s="60">
        <v>253</v>
      </c>
      <c r="F99" s="104">
        <v>2739207</v>
      </c>
      <c r="G99" s="83" t="s">
        <v>153</v>
      </c>
    </row>
    <row r="100" spans="2:8" x14ac:dyDescent="0.25">
      <c r="B100" s="15" t="s">
        <v>60</v>
      </c>
      <c r="C100" s="47" t="s">
        <v>22</v>
      </c>
      <c r="D100" s="47"/>
      <c r="E100" s="60">
        <v>252</v>
      </c>
      <c r="F100" s="104">
        <v>2739213</v>
      </c>
      <c r="G100" s="83" t="s">
        <v>151</v>
      </c>
    </row>
    <row r="101" spans="2:8" x14ac:dyDescent="0.25">
      <c r="B101" s="15" t="s">
        <v>73</v>
      </c>
      <c r="C101" s="47" t="s">
        <v>20</v>
      </c>
      <c r="D101" s="47"/>
      <c r="E101" s="60">
        <v>8190.25</v>
      </c>
      <c r="F101" s="104" t="s">
        <v>136</v>
      </c>
      <c r="G101" s="14" t="s">
        <v>155</v>
      </c>
      <c r="H101" s="3"/>
    </row>
    <row r="102" spans="2:8" x14ac:dyDescent="0.25">
      <c r="B102" s="15" t="s">
        <v>17</v>
      </c>
      <c r="C102" s="47" t="s">
        <v>7</v>
      </c>
      <c r="D102" s="3"/>
      <c r="E102" s="60">
        <f>3059-0.75</f>
        <v>3058.25</v>
      </c>
      <c r="F102" s="104" t="s">
        <v>136</v>
      </c>
      <c r="G102" s="14" t="s">
        <v>148</v>
      </c>
      <c r="H102" s="6"/>
    </row>
    <row r="103" spans="2:8" x14ac:dyDescent="0.25">
      <c r="B103" s="15" t="s">
        <v>61</v>
      </c>
      <c r="C103" s="47" t="s">
        <v>22</v>
      </c>
      <c r="D103" s="47"/>
      <c r="E103" s="60">
        <v>522.95000000000005</v>
      </c>
      <c r="F103" s="104">
        <v>2739250</v>
      </c>
      <c r="G103" s="14" t="s">
        <v>156</v>
      </c>
      <c r="H103" s="6"/>
    </row>
    <row r="104" spans="2:8" x14ac:dyDescent="0.25">
      <c r="B104" s="15" t="s">
        <v>62</v>
      </c>
      <c r="C104" s="47" t="s">
        <v>22</v>
      </c>
      <c r="D104" s="47"/>
      <c r="E104" s="60">
        <v>267.8</v>
      </c>
      <c r="F104" s="104">
        <v>2739251</v>
      </c>
      <c r="G104" s="83" t="s">
        <v>157</v>
      </c>
      <c r="H104" s="6"/>
    </row>
    <row r="105" spans="2:8" x14ac:dyDescent="0.25">
      <c r="B105" s="15" t="s">
        <v>63</v>
      </c>
      <c r="C105" s="47" t="s">
        <v>22</v>
      </c>
      <c r="D105" s="47"/>
      <c r="E105" s="60">
        <v>719</v>
      </c>
      <c r="F105" s="104">
        <v>2739257</v>
      </c>
      <c r="G105" s="83" t="s">
        <v>152</v>
      </c>
      <c r="H105" s="6"/>
    </row>
    <row r="106" spans="2:8" x14ac:dyDescent="0.25">
      <c r="B106" s="15" t="s">
        <v>64</v>
      </c>
      <c r="C106" s="47" t="s">
        <v>22</v>
      </c>
      <c r="D106" s="47"/>
      <c r="E106" s="60">
        <v>99.9</v>
      </c>
      <c r="F106" s="104">
        <v>2739269</v>
      </c>
      <c r="G106" s="83" t="s">
        <v>157</v>
      </c>
      <c r="H106" s="6"/>
    </row>
    <row r="107" spans="2:8" x14ac:dyDescent="0.25">
      <c r="B107" s="15" t="s">
        <v>65</v>
      </c>
      <c r="C107" s="47" t="s">
        <v>22</v>
      </c>
      <c r="D107" s="47"/>
      <c r="E107" s="60">
        <v>158</v>
      </c>
      <c r="F107" s="104">
        <v>2739270</v>
      </c>
      <c r="G107" s="83" t="s">
        <v>158</v>
      </c>
      <c r="H107" s="6"/>
    </row>
    <row r="108" spans="2:8" x14ac:dyDescent="0.25">
      <c r="B108" s="15" t="s">
        <v>66</v>
      </c>
      <c r="C108" s="47" t="s">
        <v>22</v>
      </c>
      <c r="D108" s="47"/>
      <c r="E108" s="60">
        <v>89</v>
      </c>
      <c r="F108" s="104">
        <v>2739271</v>
      </c>
      <c r="G108" s="83" t="s">
        <v>159</v>
      </c>
      <c r="H108" s="6"/>
    </row>
    <row r="109" spans="2:8" x14ac:dyDescent="0.25">
      <c r="B109" s="15" t="s">
        <v>67</v>
      </c>
      <c r="C109" s="47" t="s">
        <v>22</v>
      </c>
      <c r="D109" s="47"/>
      <c r="E109" s="60">
        <v>478.55</v>
      </c>
      <c r="F109" s="104">
        <v>2739272</v>
      </c>
      <c r="G109" s="83" t="s">
        <v>160</v>
      </c>
      <c r="H109" s="6"/>
    </row>
    <row r="110" spans="2:8" x14ac:dyDescent="0.25">
      <c r="B110" s="15" t="s">
        <v>68</v>
      </c>
      <c r="C110" s="47" t="s">
        <v>22</v>
      </c>
      <c r="D110" s="47"/>
      <c r="E110" s="60">
        <v>463.85</v>
      </c>
      <c r="F110" s="104">
        <v>2739273</v>
      </c>
      <c r="G110" s="83" t="s">
        <v>161</v>
      </c>
      <c r="H110" s="6"/>
    </row>
    <row r="111" spans="2:8" x14ac:dyDescent="0.25">
      <c r="B111" s="15" t="s">
        <v>70</v>
      </c>
      <c r="C111" s="47" t="s">
        <v>22</v>
      </c>
      <c r="D111" s="47"/>
      <c r="E111" s="60">
        <v>37.950000000000003</v>
      </c>
      <c r="F111" s="104">
        <v>2739340</v>
      </c>
      <c r="G111" s="83" t="s">
        <v>163</v>
      </c>
      <c r="H111" s="6"/>
    </row>
    <row r="112" spans="2:8" x14ac:dyDescent="0.25">
      <c r="B112" s="15" t="s">
        <v>69</v>
      </c>
      <c r="C112" s="47" t="s">
        <v>22</v>
      </c>
      <c r="D112" s="47"/>
      <c r="E112" s="60">
        <v>6502.5</v>
      </c>
      <c r="F112" s="104">
        <v>2739337</v>
      </c>
      <c r="G112" s="83" t="s">
        <v>162</v>
      </c>
      <c r="H112" s="6"/>
    </row>
    <row r="113" spans="2:8" x14ac:dyDescent="0.25">
      <c r="B113" s="15" t="s">
        <v>72</v>
      </c>
      <c r="C113" s="47" t="s">
        <v>22</v>
      </c>
      <c r="D113" s="47"/>
      <c r="E113" s="60">
        <v>1487.7</v>
      </c>
      <c r="F113" s="104">
        <v>2740178</v>
      </c>
      <c r="G113" s="83" t="s">
        <v>164</v>
      </c>
      <c r="H113" s="6"/>
    </row>
    <row r="114" spans="2:8" x14ac:dyDescent="0.25">
      <c r="B114" s="15" t="s">
        <v>74</v>
      </c>
      <c r="C114" s="47" t="s">
        <v>22</v>
      </c>
      <c r="D114" s="47"/>
      <c r="E114" s="60">
        <v>688.15</v>
      </c>
      <c r="F114" s="104">
        <v>2757193</v>
      </c>
      <c r="G114" s="83" t="s">
        <v>165</v>
      </c>
      <c r="H114" s="6"/>
    </row>
    <row r="115" spans="2:8" x14ac:dyDescent="0.25">
      <c r="B115" s="15" t="s">
        <v>76</v>
      </c>
      <c r="C115" s="47" t="s">
        <v>22</v>
      </c>
      <c r="D115" s="47"/>
      <c r="E115" s="60">
        <v>489</v>
      </c>
      <c r="F115" s="104">
        <v>2777009</v>
      </c>
      <c r="G115" s="14" t="s">
        <v>166</v>
      </c>
      <c r="H115" s="6"/>
    </row>
    <row r="116" spans="2:8" x14ac:dyDescent="0.25">
      <c r="B116" s="15" t="s">
        <v>77</v>
      </c>
      <c r="C116" s="47" t="s">
        <v>22</v>
      </c>
      <c r="D116" s="47"/>
      <c r="E116" s="60">
        <v>237</v>
      </c>
      <c r="F116" s="104">
        <v>2777011</v>
      </c>
      <c r="G116" s="83" t="s">
        <v>167</v>
      </c>
    </row>
    <row r="117" spans="2:8" x14ac:dyDescent="0.25">
      <c r="B117" s="15" t="s">
        <v>78</v>
      </c>
      <c r="C117" s="47" t="s">
        <v>22</v>
      </c>
      <c r="D117" s="47"/>
      <c r="E117" s="60">
        <v>385.85</v>
      </c>
      <c r="F117" s="104">
        <v>2777012</v>
      </c>
      <c r="G117" s="83" t="s">
        <v>168</v>
      </c>
    </row>
    <row r="118" spans="2:8" x14ac:dyDescent="0.25">
      <c r="B118" s="15"/>
      <c r="C118" s="47"/>
      <c r="D118" s="47"/>
      <c r="E118" s="60"/>
      <c r="F118" s="50"/>
      <c r="G118" s="14"/>
    </row>
    <row r="119" spans="2:8" x14ac:dyDescent="0.25">
      <c r="B119" s="98">
        <v>2024</v>
      </c>
      <c r="C119" s="47"/>
      <c r="D119" s="47"/>
      <c r="E119" s="60"/>
      <c r="F119" s="50"/>
      <c r="G119" s="14"/>
    </row>
    <row r="120" spans="2:8" x14ac:dyDescent="0.25">
      <c r="B120" s="15" t="s">
        <v>105</v>
      </c>
      <c r="C120" s="47" t="s">
        <v>20</v>
      </c>
      <c r="D120" s="47"/>
      <c r="E120" s="60">
        <v>6119.2</v>
      </c>
      <c r="F120" s="102" t="s">
        <v>136</v>
      </c>
      <c r="G120" s="14" t="s">
        <v>137</v>
      </c>
    </row>
    <row r="121" spans="2:8" x14ac:dyDescent="0.25">
      <c r="B121" s="15"/>
      <c r="C121" s="47"/>
      <c r="D121" s="47"/>
      <c r="E121" s="60"/>
      <c r="F121" s="99"/>
      <c r="G121" s="14"/>
    </row>
    <row r="122" spans="2:8" x14ac:dyDescent="0.25">
      <c r="B122" s="15"/>
      <c r="C122" s="47"/>
      <c r="D122" s="47"/>
      <c r="E122" s="60"/>
      <c r="F122" s="50"/>
      <c r="G122" s="14"/>
    </row>
    <row r="123" spans="2:8" x14ac:dyDescent="0.25">
      <c r="B123" s="15"/>
      <c r="C123" s="47"/>
      <c r="D123" s="47"/>
      <c r="E123" s="60"/>
      <c r="F123" s="50"/>
      <c r="G123" s="14"/>
    </row>
    <row r="124" spans="2:8" x14ac:dyDescent="0.25">
      <c r="B124" s="15"/>
      <c r="C124" s="47"/>
      <c r="D124" s="47"/>
      <c r="E124" s="60"/>
      <c r="F124" s="50"/>
      <c r="G124" s="14"/>
    </row>
    <row r="125" spans="2:8" x14ac:dyDescent="0.25">
      <c r="B125" s="15"/>
      <c r="C125" s="47"/>
      <c r="D125" s="47"/>
      <c r="E125" s="60"/>
      <c r="F125" s="50"/>
      <c r="G125" s="14"/>
    </row>
    <row r="126" spans="2:8" x14ac:dyDescent="0.25">
      <c r="B126" s="15"/>
      <c r="C126" s="47"/>
      <c r="D126" s="47"/>
      <c r="E126" s="60"/>
      <c r="F126" s="50"/>
      <c r="G126" s="14"/>
    </row>
    <row r="127" spans="2:8" x14ac:dyDescent="0.25">
      <c r="B127" s="15"/>
      <c r="C127" s="47"/>
      <c r="D127" s="47"/>
      <c r="E127" s="60"/>
      <c r="F127" s="50"/>
      <c r="G127" s="14"/>
    </row>
    <row r="128" spans="2:8" x14ac:dyDescent="0.25">
      <c r="B128" s="15"/>
      <c r="C128" s="47"/>
      <c r="D128" s="47"/>
      <c r="E128" s="60"/>
      <c r="F128" s="50"/>
      <c r="G128" s="14"/>
    </row>
    <row r="129" spans="2:11" x14ac:dyDescent="0.25">
      <c r="B129" s="15"/>
      <c r="C129" s="47"/>
      <c r="D129" s="47"/>
      <c r="E129" s="60"/>
      <c r="F129" s="50"/>
      <c r="G129" s="14"/>
    </row>
    <row r="130" spans="2:11" x14ac:dyDescent="0.25">
      <c r="B130" s="15"/>
      <c r="C130" s="47"/>
      <c r="D130" s="47"/>
      <c r="E130" s="60"/>
      <c r="F130" s="50"/>
      <c r="G130" s="14"/>
    </row>
    <row r="131" spans="2:11" x14ac:dyDescent="0.25">
      <c r="B131" s="15"/>
      <c r="C131" s="47"/>
      <c r="D131" s="47"/>
      <c r="E131" s="60"/>
      <c r="F131" s="50"/>
      <c r="G131" s="14"/>
    </row>
    <row r="132" spans="2:11" x14ac:dyDescent="0.25">
      <c r="B132" s="15"/>
      <c r="C132" s="47"/>
      <c r="D132" s="47"/>
      <c r="E132" s="60"/>
      <c r="F132" s="50"/>
      <c r="G132" s="14"/>
    </row>
    <row r="133" spans="2:11" x14ac:dyDescent="0.25">
      <c r="B133" s="15"/>
      <c r="C133" s="47"/>
      <c r="D133" s="47"/>
      <c r="E133" s="60"/>
      <c r="F133" s="50"/>
      <c r="G133" s="14"/>
    </row>
    <row r="134" spans="2:11" x14ac:dyDescent="0.25">
      <c r="B134" s="15"/>
      <c r="C134" s="47"/>
      <c r="D134" s="47"/>
      <c r="E134" s="60"/>
      <c r="F134" s="50"/>
      <c r="G134" s="14"/>
    </row>
    <row r="135" spans="2:11" ht="15.75" thickBot="1" x14ac:dyDescent="0.3">
      <c r="B135" s="16"/>
      <c r="C135" s="17"/>
      <c r="D135" s="17"/>
      <c r="E135" s="18"/>
      <c r="F135" s="48"/>
      <c r="G135" s="19"/>
    </row>
    <row r="136" spans="2:11" ht="15.75" thickBot="1" x14ac:dyDescent="0.3">
      <c r="B136" s="6"/>
      <c r="C136" s="3"/>
      <c r="D136" s="3"/>
      <c r="E136" s="4"/>
      <c r="F136" s="3"/>
      <c r="G136" s="3"/>
      <c r="J136" s="73"/>
    </row>
    <row r="137" spans="2:11" ht="18.75" x14ac:dyDescent="0.3">
      <c r="B137" s="8" t="s">
        <v>5</v>
      </c>
      <c r="C137" s="77"/>
      <c r="D137" s="77"/>
      <c r="E137" s="9"/>
      <c r="F137" s="9"/>
      <c r="G137" s="10"/>
    </row>
    <row r="138" spans="2:11" x14ac:dyDescent="0.25">
      <c r="B138" s="11" t="s">
        <v>101</v>
      </c>
      <c r="C138" s="88" t="s">
        <v>29</v>
      </c>
      <c r="D138" s="88" t="s">
        <v>102</v>
      </c>
      <c r="E138" s="88" t="s">
        <v>15</v>
      </c>
      <c r="F138" s="25"/>
      <c r="G138" s="14"/>
      <c r="K138" s="73"/>
    </row>
    <row r="139" spans="2:11" x14ac:dyDescent="0.25">
      <c r="B139" s="91">
        <f>-VLOOKUP($B137,$B$7:$G$18,6,FALSE)</f>
        <v>4000</v>
      </c>
      <c r="C139" s="92">
        <f>SUMIF($C$142:$C$145,'Drop-down'!$A$2,$E$142:$E$145)+SUMIF($C$142:$C$145,'Drop-down'!$A$3,$E$142:$E$145)+SUMIF($C$142:$C$145,'Drop-down'!$A$4,$E$142:$E$145)</f>
        <v>0</v>
      </c>
      <c r="D139" s="92">
        <f>SUMIF($C$142:$C$145,'Drop-down'!$A$5,$E$142:$E$145)</f>
        <v>0</v>
      </c>
      <c r="E139" s="93">
        <f>C139-D139</f>
        <v>0</v>
      </c>
      <c r="F139" s="60"/>
      <c r="G139" s="64"/>
    </row>
    <row r="140" spans="2:11" x14ac:dyDescent="0.25">
      <c r="B140" s="13"/>
      <c r="C140" s="3"/>
      <c r="D140" s="3"/>
      <c r="E140" s="3"/>
      <c r="F140" s="3"/>
      <c r="G140" s="14"/>
    </row>
    <row r="141" spans="2:11" x14ac:dyDescent="0.25">
      <c r="B141" s="11" t="s">
        <v>19</v>
      </c>
      <c r="C141" s="3" t="s">
        <v>9</v>
      </c>
      <c r="D141" s="5"/>
      <c r="E141" s="5" t="s">
        <v>18</v>
      </c>
      <c r="F141" s="3" t="s">
        <v>21</v>
      </c>
      <c r="G141" s="14" t="s">
        <v>28</v>
      </c>
    </row>
    <row r="142" spans="2:11" x14ac:dyDescent="0.25">
      <c r="B142" s="51"/>
      <c r="C142" s="3"/>
      <c r="D142" s="3"/>
      <c r="E142" s="63"/>
      <c r="F142" s="3"/>
      <c r="G142" s="14"/>
      <c r="H142" s="3"/>
    </row>
    <row r="143" spans="2:11" x14ac:dyDescent="0.25">
      <c r="B143" s="51"/>
      <c r="C143" s="47"/>
      <c r="D143" s="47"/>
      <c r="E143" s="63"/>
      <c r="F143" s="3"/>
      <c r="G143" s="14"/>
      <c r="H143" s="3"/>
    </row>
    <row r="144" spans="2:11" x14ac:dyDescent="0.25">
      <c r="B144" s="51"/>
      <c r="C144" s="47"/>
      <c r="D144" s="47"/>
      <c r="E144" s="63"/>
      <c r="F144" s="3"/>
      <c r="G144" s="14"/>
      <c r="H144" s="3"/>
    </row>
    <row r="145" spans="2:8" ht="15.75" thickBot="1" x14ac:dyDescent="0.3">
      <c r="B145" s="22"/>
      <c r="C145" s="17"/>
      <c r="D145" s="17"/>
      <c r="E145" s="18"/>
      <c r="F145" s="28"/>
      <c r="G145" s="19"/>
      <c r="H145" s="3"/>
    </row>
    <row r="146" spans="2:8" ht="15.75" thickBot="1" x14ac:dyDescent="0.3">
      <c r="B146" s="3"/>
      <c r="C146" s="3"/>
      <c r="D146" s="3"/>
      <c r="E146" s="4"/>
      <c r="F146" s="20"/>
      <c r="G146" s="3"/>
      <c r="H146" s="3"/>
    </row>
    <row r="147" spans="2:8" ht="18.75" x14ac:dyDescent="0.3">
      <c r="B147" s="8" t="s">
        <v>10</v>
      </c>
      <c r="C147" s="77"/>
      <c r="D147" s="77"/>
      <c r="E147" s="9"/>
      <c r="F147" s="9"/>
      <c r="G147" s="10"/>
      <c r="H147" s="3"/>
    </row>
    <row r="148" spans="2:8" x14ac:dyDescent="0.25">
      <c r="B148" s="11" t="s">
        <v>101</v>
      </c>
      <c r="C148" s="88" t="s">
        <v>29</v>
      </c>
      <c r="D148" s="88" t="s">
        <v>102</v>
      </c>
      <c r="E148" s="88" t="s">
        <v>15</v>
      </c>
      <c r="F148" s="25"/>
      <c r="G148" s="14"/>
      <c r="H148" s="3"/>
    </row>
    <row r="149" spans="2:8" x14ac:dyDescent="0.25">
      <c r="B149" s="91">
        <f>-VLOOKUP($B147,$B$7:$G$18,6,FALSE)</f>
        <v>9180</v>
      </c>
      <c r="C149" s="92">
        <f>SUMIF($C$153:$C$154,'Drop-down'!$A$2,$E$153:$E$154)+SUMIF($C$153:$C$154,'Drop-down'!$A$3,$E$153:$E$154)+SUMIF($C$153:$C$154,'Drop-down'!$A$4,$E$153:$E$154)</f>
        <v>0</v>
      </c>
      <c r="D149" s="92">
        <f>SUMIF($C$153:$C$154,'Drop-down'!$A$5,$E$153:$E$154)</f>
        <v>0</v>
      </c>
      <c r="E149" s="93">
        <f>C149-D149</f>
        <v>0</v>
      </c>
      <c r="F149" s="60"/>
      <c r="G149" s="64"/>
      <c r="H149" s="3"/>
    </row>
    <row r="150" spans="2:8" x14ac:dyDescent="0.25">
      <c r="B150" s="13"/>
      <c r="C150" s="60"/>
      <c r="D150" s="60"/>
      <c r="E150" s="60"/>
      <c r="F150" s="60"/>
      <c r="G150" s="64"/>
      <c r="H150" s="3"/>
    </row>
    <row r="151" spans="2:8" x14ac:dyDescent="0.25">
      <c r="B151" s="13"/>
      <c r="C151" s="3"/>
      <c r="D151" s="3"/>
      <c r="E151" s="3"/>
      <c r="F151" s="3"/>
      <c r="G151" s="14"/>
      <c r="H151" s="3"/>
    </row>
    <row r="152" spans="2:8" x14ac:dyDescent="0.25">
      <c r="B152" s="11" t="s">
        <v>19</v>
      </c>
      <c r="C152" s="3" t="s">
        <v>9</v>
      </c>
      <c r="D152" s="5"/>
      <c r="E152" s="5" t="s">
        <v>18</v>
      </c>
      <c r="F152" s="3" t="s">
        <v>21</v>
      </c>
      <c r="G152" s="14" t="s">
        <v>28</v>
      </c>
      <c r="H152" s="3"/>
    </row>
    <row r="153" spans="2:8" x14ac:dyDescent="0.25">
      <c r="B153" s="13"/>
      <c r="C153" s="47"/>
      <c r="D153" s="3"/>
      <c r="E153" s="4"/>
      <c r="F153" s="21"/>
      <c r="G153" s="14"/>
      <c r="H153" s="3"/>
    </row>
    <row r="154" spans="2:8" ht="15.75" thickBot="1" x14ac:dyDescent="0.3">
      <c r="B154" s="22"/>
      <c r="C154" s="17"/>
      <c r="D154" s="17"/>
      <c r="E154" s="18"/>
      <c r="F154" s="48"/>
      <c r="G154" s="19"/>
      <c r="H154" s="3"/>
    </row>
    <row r="155" spans="2:8" ht="15.75" thickBot="1" x14ac:dyDescent="0.3">
      <c r="B155" s="3"/>
      <c r="C155" s="3"/>
      <c r="D155" s="3"/>
      <c r="E155" s="4"/>
      <c r="F155" s="21"/>
      <c r="G155" s="3"/>
      <c r="H155" s="3"/>
    </row>
    <row r="156" spans="2:8" ht="18.75" x14ac:dyDescent="0.3">
      <c r="B156" s="8" t="s">
        <v>23</v>
      </c>
      <c r="C156" s="77"/>
      <c r="D156" s="77"/>
      <c r="E156" s="9"/>
      <c r="F156" s="9"/>
      <c r="G156" s="10"/>
      <c r="H156" s="3"/>
    </row>
    <row r="157" spans="2:8" x14ac:dyDescent="0.25">
      <c r="B157" s="11" t="s">
        <v>101</v>
      </c>
      <c r="C157" s="88" t="s">
        <v>29</v>
      </c>
      <c r="D157" s="88" t="s">
        <v>102</v>
      </c>
      <c r="E157" s="88" t="s">
        <v>15</v>
      </c>
      <c r="F157" s="25"/>
      <c r="G157" s="14"/>
      <c r="H157" s="3"/>
    </row>
    <row r="158" spans="2:8" x14ac:dyDescent="0.25">
      <c r="B158" s="91">
        <f>-VLOOKUP($B156,$B$7:$G$18,6,FALSE)</f>
        <v>0</v>
      </c>
      <c r="C158" s="92">
        <f>SUMIF($C$161:$C$162,'Drop-down'!$A$2,$E$161:$E$162)+SUMIF($C$161:$C$162,'Drop-down'!$A$3,$E$161:$E$162)+SUMIF($C$161:$C$162,'Drop-down'!$A$4,$E$161:$E$162)</f>
        <v>0</v>
      </c>
      <c r="D158" s="92">
        <f>SUMIF($C$161:$C$162,'Drop-down'!$A$5,$E$161:$E$162)</f>
        <v>0</v>
      </c>
      <c r="E158" s="93">
        <f>C158-D158</f>
        <v>0</v>
      </c>
      <c r="F158" s="60"/>
      <c r="G158" s="64"/>
      <c r="H158" s="6"/>
    </row>
    <row r="159" spans="2:8" x14ac:dyDescent="0.25">
      <c r="B159" s="13"/>
      <c r="C159" s="3"/>
      <c r="D159" s="3"/>
      <c r="E159" s="3"/>
      <c r="F159" s="3"/>
      <c r="G159" s="14"/>
      <c r="H159" s="6"/>
    </row>
    <row r="160" spans="2:8" x14ac:dyDescent="0.25">
      <c r="B160" s="11" t="s">
        <v>19</v>
      </c>
      <c r="C160" s="3" t="s">
        <v>9</v>
      </c>
      <c r="D160" s="5"/>
      <c r="E160" s="5" t="s">
        <v>18</v>
      </c>
      <c r="F160" s="3" t="s">
        <v>21</v>
      </c>
      <c r="G160" s="14" t="s">
        <v>28</v>
      </c>
      <c r="H160" s="6"/>
    </row>
    <row r="161" spans="2:12" x14ac:dyDescent="0.25">
      <c r="B161" s="11"/>
      <c r="C161" s="3"/>
      <c r="D161" s="5"/>
      <c r="E161" s="5"/>
      <c r="F161" s="3"/>
      <c r="G161" s="14"/>
      <c r="H161" s="6"/>
    </row>
    <row r="162" spans="2:12" ht="15.75" thickBot="1" x14ac:dyDescent="0.3">
      <c r="B162" s="22"/>
      <c r="C162" s="17"/>
      <c r="D162" s="17"/>
      <c r="E162" s="18"/>
      <c r="F162" s="28"/>
      <c r="G162" s="19"/>
      <c r="H162" s="6"/>
    </row>
    <row r="163" spans="2:12" ht="15.75" thickBot="1" x14ac:dyDescent="0.3">
      <c r="B163" s="3"/>
      <c r="C163" s="3"/>
      <c r="D163" s="4"/>
      <c r="E163" s="20"/>
      <c r="F163" s="3"/>
      <c r="G163" s="3"/>
      <c r="H163" s="6"/>
    </row>
    <row r="164" spans="2:12" ht="18.75" x14ac:dyDescent="0.3">
      <c r="B164" s="8" t="s">
        <v>16</v>
      </c>
      <c r="C164" s="77"/>
      <c r="D164" s="77"/>
      <c r="E164" s="9"/>
      <c r="F164" s="9"/>
      <c r="G164" s="10"/>
      <c r="H164" s="6"/>
    </row>
    <row r="165" spans="2:12" x14ac:dyDescent="0.25">
      <c r="B165" s="11" t="s">
        <v>101</v>
      </c>
      <c r="C165" s="88" t="s">
        <v>29</v>
      </c>
      <c r="D165" s="88" t="s">
        <v>102</v>
      </c>
      <c r="E165" s="88" t="s">
        <v>15</v>
      </c>
      <c r="F165" s="25"/>
      <c r="G165" s="14"/>
    </row>
    <row r="166" spans="2:12" x14ac:dyDescent="0.25">
      <c r="B166" s="91">
        <f>-VLOOKUP($B164,$B$7:$G$18,6,FALSE)</f>
        <v>2400</v>
      </c>
      <c r="C166" s="92">
        <f>SUMIF($C$169:$C$174,'Drop-down'!$A$2,$E$169:$E$174)+SUMIF($C$169:$C$174,'Drop-down'!$A$3,$E$169:$E$174)+SUMIF($C$169:$C$174,'Drop-down'!$A$4,$E$169:$E$174)</f>
        <v>0</v>
      </c>
      <c r="D166" s="92">
        <f>SUMIF($C$169:$C$174,'Drop-down'!$A$5,$E$169:$E$174)</f>
        <v>545</v>
      </c>
      <c r="E166" s="93">
        <f>C166-D166</f>
        <v>-545</v>
      </c>
      <c r="F166" s="60"/>
      <c r="G166" s="64"/>
      <c r="I166" s="3"/>
      <c r="J166" s="4"/>
      <c r="K166" s="3"/>
      <c r="L166" s="3"/>
    </row>
    <row r="167" spans="2:12" x14ac:dyDescent="0.25">
      <c r="B167" s="13"/>
      <c r="C167" s="3"/>
      <c r="D167" s="3"/>
      <c r="E167" s="3"/>
      <c r="F167" s="3"/>
      <c r="G167" s="14"/>
      <c r="H167" s="6"/>
    </row>
    <row r="168" spans="2:12" x14ac:dyDescent="0.25">
      <c r="B168" s="11" t="s">
        <v>19</v>
      </c>
      <c r="C168" s="3" t="s">
        <v>9</v>
      </c>
      <c r="D168" s="5"/>
      <c r="E168" s="5" t="s">
        <v>18</v>
      </c>
      <c r="F168" s="3" t="s">
        <v>21</v>
      </c>
      <c r="G168" s="14" t="s">
        <v>28</v>
      </c>
      <c r="H168" s="6"/>
    </row>
    <row r="169" spans="2:12" x14ac:dyDescent="0.25">
      <c r="B169" s="13" t="s">
        <v>131</v>
      </c>
      <c r="C169" s="3" t="s">
        <v>22</v>
      </c>
      <c r="D169" s="3"/>
      <c r="E169" s="60">
        <v>469</v>
      </c>
      <c r="F169" s="21" t="s">
        <v>11</v>
      </c>
      <c r="G169" s="14"/>
      <c r="H169" s="6"/>
    </row>
    <row r="170" spans="2:12" x14ac:dyDescent="0.25">
      <c r="B170" s="13" t="s">
        <v>132</v>
      </c>
      <c r="C170" s="3" t="s">
        <v>22</v>
      </c>
      <c r="D170" s="3"/>
      <c r="E170" s="60">
        <v>76</v>
      </c>
      <c r="F170" s="21" t="s">
        <v>11</v>
      </c>
      <c r="G170" s="14"/>
      <c r="H170" s="6"/>
    </row>
    <row r="171" spans="2:12" x14ac:dyDescent="0.25">
      <c r="B171" s="13"/>
      <c r="C171" s="3"/>
      <c r="D171" s="3"/>
      <c r="E171" s="60"/>
      <c r="F171" s="20"/>
      <c r="G171" s="14"/>
      <c r="H171" s="6"/>
    </row>
    <row r="172" spans="2:12" x14ac:dyDescent="0.25">
      <c r="B172" s="13"/>
      <c r="C172" s="3"/>
      <c r="D172" s="3"/>
      <c r="E172" s="60"/>
      <c r="F172" s="20"/>
      <c r="G172" s="14"/>
      <c r="H172" s="6"/>
    </row>
    <row r="173" spans="2:12" x14ac:dyDescent="0.25">
      <c r="B173" s="13"/>
      <c r="C173" s="3"/>
      <c r="D173" s="3"/>
      <c r="E173" s="60"/>
      <c r="F173" s="20"/>
      <c r="G173" s="14"/>
      <c r="H173" s="3"/>
    </row>
    <row r="174" spans="2:12" ht="15.75" thickBot="1" x14ac:dyDescent="0.3">
      <c r="B174" s="22"/>
      <c r="C174" s="17"/>
      <c r="D174" s="17"/>
      <c r="E174" s="62"/>
      <c r="F174" s="28"/>
      <c r="G174" s="19"/>
    </row>
    <row r="175" spans="2:12" ht="15.75" thickBot="1" x14ac:dyDescent="0.3">
      <c r="B175" s="3"/>
      <c r="C175" s="3"/>
      <c r="D175" s="3"/>
      <c r="E175" s="3"/>
      <c r="F175" s="3"/>
      <c r="G175" s="3"/>
    </row>
    <row r="176" spans="2:12" ht="18.75" x14ac:dyDescent="0.3">
      <c r="B176" s="8" t="s">
        <v>117</v>
      </c>
      <c r="C176" s="77"/>
      <c r="D176" s="77"/>
      <c r="E176" s="9"/>
      <c r="F176" s="9"/>
      <c r="G176" s="10"/>
    </row>
    <row r="177" spans="2:7" x14ac:dyDescent="0.25">
      <c r="B177" s="11" t="s">
        <v>101</v>
      </c>
      <c r="C177" s="88" t="s">
        <v>29</v>
      </c>
      <c r="D177" s="88" t="s">
        <v>102</v>
      </c>
      <c r="E177" s="88" t="s">
        <v>15</v>
      </c>
      <c r="F177" s="25"/>
      <c r="G177" s="14"/>
    </row>
    <row r="178" spans="2:7" x14ac:dyDescent="0.25">
      <c r="B178" s="91">
        <f>-VLOOKUP($B176,$B$7:$G$18,6,FALSE)</f>
        <v>0</v>
      </c>
      <c r="C178" s="92">
        <f>SUMIF($C$181:$C$189,'Drop-down'!$A$2,$E$181:$E$189)+SUMIF($C$181:$C$189,'Drop-down'!$A$3,$E$181:$E$189)+SUMIF($C$181:$C$189,'Drop-down'!$A$4,$E$181:$E$189)</f>
        <v>5789</v>
      </c>
      <c r="D178" s="92">
        <f>SUMIF($C$181:$C$189,'Drop-down'!$A$5,$E$181:$E$189)</f>
        <v>17886.79</v>
      </c>
      <c r="E178" s="93">
        <f>C178-D178</f>
        <v>-12097.79</v>
      </c>
      <c r="F178" s="60"/>
      <c r="G178" s="64"/>
    </row>
    <row r="179" spans="2:7" x14ac:dyDescent="0.25">
      <c r="B179" s="13"/>
      <c r="C179" s="3"/>
      <c r="D179" s="3"/>
      <c r="E179" s="3"/>
      <c r="F179" s="3"/>
      <c r="G179" s="14"/>
    </row>
    <row r="180" spans="2:7" x14ac:dyDescent="0.25">
      <c r="B180" s="11" t="s">
        <v>19</v>
      </c>
      <c r="C180" s="3" t="s">
        <v>9</v>
      </c>
      <c r="D180" s="5"/>
      <c r="E180" s="5" t="s">
        <v>18</v>
      </c>
      <c r="F180" s="3" t="s">
        <v>21</v>
      </c>
      <c r="G180" s="14" t="s">
        <v>28</v>
      </c>
    </row>
    <row r="181" spans="2:7" x14ac:dyDescent="0.25">
      <c r="B181" s="13" t="s">
        <v>46</v>
      </c>
      <c r="C181" s="3" t="s">
        <v>22</v>
      </c>
      <c r="D181" s="3"/>
      <c r="E181" s="60">
        <v>3111</v>
      </c>
      <c r="F181" s="83" t="s">
        <v>89</v>
      </c>
      <c r="G181" s="14"/>
    </row>
    <row r="182" spans="2:7" x14ac:dyDescent="0.25">
      <c r="B182" s="13" t="s">
        <v>47</v>
      </c>
      <c r="C182" s="3" t="s">
        <v>22</v>
      </c>
      <c r="D182" s="3"/>
      <c r="E182" s="60">
        <v>2916.75</v>
      </c>
      <c r="F182" s="83" t="s">
        <v>90</v>
      </c>
      <c r="G182" s="14"/>
    </row>
    <row r="183" spans="2:7" x14ac:dyDescent="0.25">
      <c r="B183" s="13" t="s">
        <v>75</v>
      </c>
      <c r="C183" s="3" t="s">
        <v>22</v>
      </c>
      <c r="D183" s="3"/>
      <c r="E183" s="60">
        <v>3095.35</v>
      </c>
      <c r="F183" s="83" t="s">
        <v>91</v>
      </c>
      <c r="G183" s="14"/>
    </row>
    <row r="184" spans="2:7" x14ac:dyDescent="0.25">
      <c r="B184" s="13" t="s">
        <v>115</v>
      </c>
      <c r="C184" s="47" t="s">
        <v>22</v>
      </c>
      <c r="D184" s="3"/>
      <c r="E184" s="60">
        <v>499.55</v>
      </c>
      <c r="F184" s="83" t="s">
        <v>116</v>
      </c>
      <c r="G184" s="14"/>
    </row>
    <row r="185" spans="2:7" x14ac:dyDescent="0.25">
      <c r="B185" s="13" t="s">
        <v>120</v>
      </c>
      <c r="C185" s="3" t="s">
        <v>22</v>
      </c>
      <c r="D185" s="3"/>
      <c r="E185" s="60">
        <v>6196.8</v>
      </c>
      <c r="F185" s="96">
        <v>751863</v>
      </c>
      <c r="G185" s="14"/>
    </row>
    <row r="186" spans="2:7" x14ac:dyDescent="0.25">
      <c r="B186" s="13" t="s">
        <v>121</v>
      </c>
      <c r="C186" s="3" t="s">
        <v>22</v>
      </c>
      <c r="D186" s="3"/>
      <c r="E186" s="60">
        <v>2067.34</v>
      </c>
      <c r="F186" s="96">
        <v>778325</v>
      </c>
      <c r="G186" s="14"/>
    </row>
    <row r="187" spans="2:7" x14ac:dyDescent="0.25">
      <c r="B187" s="13" t="s">
        <v>29</v>
      </c>
      <c r="C187" s="3" t="s">
        <v>7</v>
      </c>
      <c r="D187" s="3"/>
      <c r="E187" s="60">
        <v>5708.2</v>
      </c>
      <c r="F187" s="96" t="s">
        <v>130</v>
      </c>
      <c r="G187" s="14"/>
    </row>
    <row r="188" spans="2:7" x14ac:dyDescent="0.25">
      <c r="B188" s="13" t="s">
        <v>126</v>
      </c>
      <c r="C188" s="3" t="s">
        <v>7</v>
      </c>
      <c r="D188" s="3"/>
      <c r="E188" s="60">
        <v>80.8</v>
      </c>
      <c r="F188" s="96" t="s">
        <v>130</v>
      </c>
      <c r="G188" s="14" t="s">
        <v>127</v>
      </c>
    </row>
    <row r="189" spans="2:7" ht="15.75" thickBot="1" x14ac:dyDescent="0.3">
      <c r="B189" s="22"/>
      <c r="C189" s="17"/>
      <c r="D189" s="17"/>
      <c r="E189" s="62"/>
      <c r="F189" s="28"/>
      <c r="G189" s="19"/>
    </row>
    <row r="190" spans="2:7" ht="15.75" thickBot="1" x14ac:dyDescent="0.3"/>
    <row r="191" spans="2:7" ht="18.75" x14ac:dyDescent="0.3">
      <c r="B191" s="8" t="s">
        <v>30</v>
      </c>
      <c r="C191" s="77"/>
      <c r="D191" s="77"/>
      <c r="E191" s="9"/>
      <c r="F191" s="9"/>
      <c r="G191" s="10"/>
    </row>
    <row r="192" spans="2:7" x14ac:dyDescent="0.25">
      <c r="B192" s="11" t="s">
        <v>101</v>
      </c>
      <c r="C192" s="88" t="s">
        <v>29</v>
      </c>
      <c r="D192" s="88" t="s">
        <v>102</v>
      </c>
      <c r="E192" s="88" t="s">
        <v>15</v>
      </c>
      <c r="F192" s="25"/>
      <c r="G192" s="14"/>
    </row>
    <row r="193" spans="2:7" x14ac:dyDescent="0.25">
      <c r="B193" s="91">
        <f>-VLOOKUP($B191,$B$7:$G$18,6,FALSE)</f>
        <v>-15000</v>
      </c>
      <c r="C193" s="92">
        <f>SUMIF($C$196:$C$204,'Drop-down'!$A$2,$E$196:$E$204)+SUMIF($C$196:$C$204,'Drop-down'!$A$3,$E$196:$E$204)+SUMIF($C$196:$C$204,'Drop-down'!$A$4,$E$196:$E$204)</f>
        <v>82258.7</v>
      </c>
      <c r="D193" s="92">
        <f>SUMIF($C$196:$C$204,'Drop-down'!$A$5,$E$196:$E$204)</f>
        <v>73059.099999999991</v>
      </c>
      <c r="E193" s="93">
        <f>C193-D193</f>
        <v>9199.6000000000058</v>
      </c>
      <c r="F193" s="60"/>
      <c r="G193" s="64"/>
    </row>
    <row r="194" spans="2:7" x14ac:dyDescent="0.25">
      <c r="B194" s="13"/>
      <c r="C194" s="60"/>
      <c r="D194" s="60"/>
      <c r="E194" s="60"/>
      <c r="F194" s="60"/>
      <c r="G194" s="64"/>
    </row>
    <row r="195" spans="2:7" x14ac:dyDescent="0.25">
      <c r="B195" s="11" t="s">
        <v>19</v>
      </c>
      <c r="C195" s="3" t="s">
        <v>9</v>
      </c>
      <c r="D195" s="5"/>
      <c r="E195" s="5" t="s">
        <v>18</v>
      </c>
      <c r="F195" s="3" t="s">
        <v>21</v>
      </c>
      <c r="G195" s="14" t="s">
        <v>28</v>
      </c>
    </row>
    <row r="196" spans="2:7" x14ac:dyDescent="0.25">
      <c r="B196" s="13" t="s">
        <v>92</v>
      </c>
      <c r="C196" s="3" t="s">
        <v>22</v>
      </c>
      <c r="D196" s="3"/>
      <c r="E196" s="60">
        <v>2808.35</v>
      </c>
      <c r="F196" s="84" t="s">
        <v>93</v>
      </c>
      <c r="G196" s="14"/>
    </row>
    <row r="197" spans="2:7" x14ac:dyDescent="0.25">
      <c r="B197" s="13" t="s">
        <v>94</v>
      </c>
      <c r="C197" s="3" t="s">
        <v>22</v>
      </c>
      <c r="D197" s="3"/>
      <c r="E197" s="60">
        <v>956.7</v>
      </c>
      <c r="F197" s="21" t="s">
        <v>95</v>
      </c>
      <c r="G197" s="14"/>
    </row>
    <row r="198" spans="2:7" x14ac:dyDescent="0.25">
      <c r="B198" s="13" t="s">
        <v>96</v>
      </c>
      <c r="C198" s="47" t="s">
        <v>22</v>
      </c>
      <c r="D198" s="3"/>
      <c r="E198" s="60">
        <v>10000</v>
      </c>
      <c r="F198" s="21" t="s">
        <v>97</v>
      </c>
      <c r="G198" s="14"/>
    </row>
    <row r="199" spans="2:7" x14ac:dyDescent="0.25">
      <c r="B199" s="13" t="s">
        <v>99</v>
      </c>
      <c r="C199" s="47" t="s">
        <v>22</v>
      </c>
      <c r="D199" s="47"/>
      <c r="E199" s="60">
        <v>49931</v>
      </c>
      <c r="F199" s="21" t="s">
        <v>100</v>
      </c>
      <c r="G199" s="14"/>
    </row>
    <row r="200" spans="2:7" x14ac:dyDescent="0.25">
      <c r="B200" s="13" t="s">
        <v>29</v>
      </c>
      <c r="C200" s="47" t="s">
        <v>7</v>
      </c>
      <c r="D200" s="47"/>
      <c r="E200" s="60">
        <v>82258.7</v>
      </c>
      <c r="F200" s="20" t="s">
        <v>136</v>
      </c>
      <c r="G200" s="14"/>
    </row>
    <row r="201" spans="2:7" x14ac:dyDescent="0.25">
      <c r="B201" s="13" t="s">
        <v>118</v>
      </c>
      <c r="C201" s="47" t="s">
        <v>22</v>
      </c>
      <c r="D201" s="47"/>
      <c r="E201" s="60">
        <v>5343.65</v>
      </c>
      <c r="F201" s="21" t="s">
        <v>119</v>
      </c>
      <c r="G201" s="14"/>
    </row>
    <row r="202" spans="2:7" x14ac:dyDescent="0.25">
      <c r="B202" s="13" t="s">
        <v>98</v>
      </c>
      <c r="C202" s="47" t="s">
        <v>22</v>
      </c>
      <c r="D202" s="47"/>
      <c r="E202" s="60">
        <v>384</v>
      </c>
      <c r="F202" s="94" t="s">
        <v>112</v>
      </c>
      <c r="G202" s="14"/>
    </row>
    <row r="203" spans="2:7" x14ac:dyDescent="0.25">
      <c r="B203" s="13" t="s">
        <v>128</v>
      </c>
      <c r="C203" s="47" t="s">
        <v>22</v>
      </c>
      <c r="D203" s="3"/>
      <c r="E203" s="60">
        <v>3635.4</v>
      </c>
      <c r="F203" s="21" t="s">
        <v>129</v>
      </c>
      <c r="G203" s="14"/>
    </row>
    <row r="204" spans="2:7" ht="15.75" thickBot="1" x14ac:dyDescent="0.3">
      <c r="B204" s="22"/>
      <c r="C204" s="17"/>
      <c r="D204" s="17"/>
      <c r="E204" s="18"/>
      <c r="F204" s="28"/>
      <c r="G204" s="19"/>
    </row>
    <row r="205" spans="2:7" ht="15.75" thickBot="1" x14ac:dyDescent="0.3"/>
    <row r="206" spans="2:7" ht="18.75" x14ac:dyDescent="0.3">
      <c r="B206" s="8" t="s">
        <v>35</v>
      </c>
      <c r="C206" s="77"/>
      <c r="D206" s="77"/>
      <c r="E206" s="9"/>
      <c r="F206" s="9"/>
      <c r="G206" s="10"/>
    </row>
    <row r="207" spans="2:7" x14ac:dyDescent="0.25">
      <c r="B207" s="11" t="s">
        <v>101</v>
      </c>
      <c r="C207" s="88" t="s">
        <v>29</v>
      </c>
      <c r="D207" s="88" t="s">
        <v>102</v>
      </c>
      <c r="E207" s="88" t="s">
        <v>15</v>
      </c>
      <c r="F207" s="25"/>
      <c r="G207" s="14"/>
    </row>
    <row r="208" spans="2:7" x14ac:dyDescent="0.25">
      <c r="B208" s="91">
        <f>-VLOOKUP($B206,$B$7:$G$18,6,FALSE)</f>
        <v>6820</v>
      </c>
      <c r="C208" s="92">
        <f>SUMIF($C$211:$C$213,'Drop-down'!$A$2,$E$211:$E$213)+SUMIF($C$211:$C$213,'Drop-down'!$A$3,$E$211:$E$213)+SUMIF($C$211:$C$213,'Drop-down'!$A$4,$E$211:$E$213)</f>
        <v>0</v>
      </c>
      <c r="D208" s="92">
        <f>SUMIF($C$211:$C$213,'Drop-down'!$A$5,$E$211:$E$213)</f>
        <v>7485</v>
      </c>
      <c r="E208" s="93">
        <f>C208-D208</f>
        <v>-7485</v>
      </c>
      <c r="F208" s="60"/>
      <c r="G208" s="64"/>
    </row>
    <row r="209" spans="2:7" x14ac:dyDescent="0.25">
      <c r="B209" s="13"/>
      <c r="C209" s="3"/>
      <c r="D209" s="3"/>
      <c r="E209" s="3"/>
      <c r="F209" s="3"/>
      <c r="G209" s="14"/>
    </row>
    <row r="210" spans="2:7" x14ac:dyDescent="0.25">
      <c r="B210" s="11" t="s">
        <v>19</v>
      </c>
      <c r="C210" s="5" t="s">
        <v>9</v>
      </c>
      <c r="D210" s="5"/>
      <c r="E210" s="5" t="s">
        <v>18</v>
      </c>
      <c r="F210" s="5" t="s">
        <v>21</v>
      </c>
      <c r="G210" s="12" t="s">
        <v>28</v>
      </c>
    </row>
    <row r="211" spans="2:7" ht="60" x14ac:dyDescent="0.25">
      <c r="B211" s="79" t="s">
        <v>0</v>
      </c>
      <c r="C211" s="47" t="s">
        <v>22</v>
      </c>
      <c r="D211" s="81"/>
      <c r="E211" s="82">
        <f>7810-325</f>
        <v>7485</v>
      </c>
      <c r="F211" s="80">
        <v>2740166</v>
      </c>
      <c r="G211" s="78" t="s">
        <v>71</v>
      </c>
    </row>
    <row r="212" spans="2:7" x14ac:dyDescent="0.25">
      <c r="B212" s="51"/>
      <c r="C212" s="47"/>
      <c r="D212" s="5"/>
      <c r="E212" s="5"/>
      <c r="F212" s="3"/>
      <c r="G212" s="14"/>
    </row>
    <row r="213" spans="2:7" ht="15.75" thickBot="1" x14ac:dyDescent="0.3">
      <c r="B213" s="54"/>
      <c r="C213" s="17"/>
      <c r="D213" s="17"/>
      <c r="E213" s="62"/>
      <c r="F213" s="28"/>
      <c r="G213" s="19"/>
    </row>
    <row r="234" ht="44.25" customHeight="1" x14ac:dyDescent="0.25"/>
  </sheetData>
  <conditionalFormatting sqref="O7:O1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{616975F2-B157-489A-AFAC-4EF2A35E1C07}</x14:id>
        </ext>
      </extLst>
    </cfRule>
  </conditionalFormatting>
  <dataValidations count="7">
    <dataValidation type="list" allowBlank="1" showInputMessage="1" showErrorMessage="1" sqref="D153:D154" xr:uid="{F5C21179-491E-4FFE-AEB0-FD77E92E5B90}">
      <formula1>$B$149:$B$150</formula1>
    </dataValidation>
    <dataValidation type="list" allowBlank="1" showInputMessage="1" showErrorMessage="1" sqref="D169:D174" xr:uid="{DD919176-73CE-4ADB-BB7E-FF7043B12F3E}">
      <formula1>$B$166:$B$166</formula1>
    </dataValidation>
    <dataValidation type="list" allowBlank="1" showInputMessage="1" showErrorMessage="1" sqref="D59:D65 D50:D52 D73:D78 D87:D134" xr:uid="{4745B8E1-9AC9-40D8-854B-003C2D691F1B}">
      <formula1>#REF!</formula1>
    </dataValidation>
    <dataValidation type="list" allowBlank="1" showInputMessage="1" showErrorMessage="1" sqref="D213 D181:D189" xr:uid="{45D3191C-68BD-42E2-A2F7-C26B4E6B9A89}">
      <formula1>$B$178:$B$178</formula1>
    </dataValidation>
    <dataValidation type="list" allowBlank="1" showInputMessage="1" showErrorMessage="1" sqref="D142:D144" xr:uid="{CC9DEF8B-0488-479B-9C94-193269ED0B17}">
      <formula1>$B$139</formula1>
    </dataValidation>
    <dataValidation type="list" allowBlank="1" showInputMessage="1" showErrorMessage="1" sqref="D211:D212" xr:uid="{D1ECA2F9-2065-4C37-8AD2-6C5FBBA232E1}">
      <formula1>$B$208:$B$208</formula1>
    </dataValidation>
    <dataValidation type="list" allowBlank="1" showInputMessage="1" showErrorMessage="1" sqref="D196:D203" xr:uid="{BF115E2C-63DB-4CEF-A4CD-FD5E14AD3B1D}">
      <formula1>$B$193:$B$194</formula1>
    </dataValidation>
  </dataValidations>
  <hyperlinks>
    <hyperlink ref="F181" r:id="rId1" tooltip="Faktura - Fredagsøl 2023-04-26.pdf" display="f2p://document/73253" xr:uid="{69BB01E1-C0B0-4E16-8568-C8D24F9284B8}"/>
    <hyperlink ref="F182" r:id="rId2" tooltip="Faktura - fredagsøl 2023-03-23.pdf" display="f2p://document/73251" xr:uid="{7844943F-4D98-46F9-AAA0-E1223C4600E4}"/>
    <hyperlink ref="F183" r:id="rId3" tooltip="Faktura - Fredagsøl - 2023-06-30.pdf" display="f2p://document/73286" xr:uid="{E257E6F8-54D7-4A6E-A76E-5FA852370282}"/>
    <hyperlink ref="F196" r:id="rId4" xr:uid="{AD898951-2B2D-484B-977B-93B34C981076}"/>
    <hyperlink ref="F64" r:id="rId5" xr:uid="{4C0F248E-F2B8-440A-86AA-F295BD71DC69}"/>
    <hyperlink ref="F185" r:id="rId6" display="751863" xr:uid="{E2423893-9328-482C-9BC7-6D7A027A9209}"/>
    <hyperlink ref="F186" r:id="rId7" display="778325" xr:uid="{FC386984-5936-46A3-916A-97AD0C25798F}"/>
    <hyperlink ref="G87" r:id="rId8" tooltip="Faktura - TDC - Bar.pdf" display="f2p://document/73255" xr:uid="{FC502BD4-3AE0-4CFD-B440-5004717882AE}"/>
    <hyperlink ref="G88" r:id="rId9" tooltip="Faktura - TDC - hold 5 - 2 x netto.jpg" display="f2p://document/73256" xr:uid="{E49313CC-6C93-4134-B89E-4099ED2518EC}"/>
    <hyperlink ref="G89" r:id="rId10" tooltip="Faktura - TDC - hold 5 - 354 discount.jpg" display="f2p://document/73257" xr:uid="{2160BD64-3498-4255-B574-780C0D6722AB}"/>
    <hyperlink ref="G90" r:id="rId11" tooltip="Faktura - TDC - hold 5 - temashop.pdf" display="f2p://document/73258" xr:uid="{1A09F966-4518-4046-9174-78E536ED8438}"/>
    <hyperlink ref="G92" r:id="rId12" tooltip="Faktura - TDC - Sabine - Festfarver.pdf" display="f2p://document/73261" xr:uid="{D2442104-9903-4B0E-ADD6-BFB10C9AEBBC}"/>
    <hyperlink ref="G91" r:id="rId13" tooltip="Faktura - TDC - Sabine - Kvickly.tif" display="f2p://document/73264" xr:uid="{8900A491-1F33-4328-80F1-0651158DB804}"/>
    <hyperlink ref="G93" r:id="rId14" tooltip="Faktura - TDC - Sabine - Loppen.jpeg" display="f2p://document/73262" xr:uid="{8EB4278D-4312-4CC8-9ADF-3C9E8E841E6E}"/>
    <hyperlink ref="G94" r:id="rId15" tooltip="Faktura - TDC - Sabine - Kirppu.jpg" display="f2p://document/73263" xr:uid="{B72A9F8F-C29A-4373-9E43-8313A8663BD0}"/>
    <hyperlink ref="G96" r:id="rId16" tooltip="Faktura - TDC - Trine - Føtex.jpg" display="f2p://document/73267" xr:uid="{77193EC7-7612-4047-8469-0838DF6DA5A0}"/>
    <hyperlink ref="G98" r:id="rId17" tooltip="Faktura - TDC - Trine- Ita.jpeg" display="f2p://document/73269" xr:uid="{B7094113-C773-4FE7-990B-33A128497397}"/>
    <hyperlink ref="G100" r:id="rId18" tooltip="Faktura - TDC - Trine - Netto.jpg" display="f2p://document/73270" xr:uid="{BFB41EEF-5B7A-4FC4-8077-8958D6F0203C}"/>
    <hyperlink ref="G105" r:id="rId19" tooltip="Kvitteringer fra Tour De Chambre.msg" display="f2p://document/73273" xr:uid="{95B7A790-A4B2-4A01-89A3-B71EDB0B3E68}"/>
    <hyperlink ref="G99" r:id="rId20" tooltip="Din bestelling på Party.dk.msg" display="f2p://document/73265" xr:uid="{2DBF454A-2476-478F-82E8-8D01E3431334}"/>
    <hyperlink ref="G97" r:id="rId21" tooltip="Ordrebekræftelse fra Kids-world - 4783763.msg" display="f2p://document/73266" xr:uid="{E1774600-D5F0-4B72-B703-B07412F749FC}"/>
    <hyperlink ref="G104" r:id="rId22" tooltip="Faktura - TDC - Signe - SuperBrugsen2.jpg" display="f2p://document/73272" xr:uid="{0E873922-0B9E-4F74-9599-4EE1A1D45435}"/>
    <hyperlink ref="G106" r:id="rId23" tooltip="Faktura - TDC - Signe - SuperBrugsen2.jpg" display="f2p://document/73272" xr:uid="{8A0136C3-39F9-4A86-B51D-FDEFE3704F18}"/>
    <hyperlink ref="G107" r:id="rId24" tooltip="Faktura - TDC - Philip - BR.pdf" display="f2p://document/73275" xr:uid="{82662A61-5D51-4ED0-A48B-F09CEFF7289A}"/>
    <hyperlink ref="G108" r:id="rId25" tooltip="Faktura - TDC - Philip - Kvickly.pdf" display="f2p://document/73276" xr:uid="{683C6966-C885-46B6-8052-A986C823F430}"/>
    <hyperlink ref="G109" r:id="rId26" tooltip="Faktura - TDC - Philip - Netto.pdf" display="f2p://document/73277" xr:uid="{080940D2-73C0-41E0-A691-4B7DAF735FE6}"/>
    <hyperlink ref="G110" r:id="rId27" tooltip="Faktura - TDC - Philip - Menu.pdf" display="f2p://document/73278" xr:uid="{02C88A88-23B7-4DC3-9046-05982BA8797C}"/>
    <hyperlink ref="G112" r:id="rId28" tooltip="Faktura - TDC - Mette - Pizza.jpg" display="f2p://document/73279" xr:uid="{073B16CB-3F20-492C-87EB-3F8854D99E2C}"/>
    <hyperlink ref="G111" r:id="rId29" tooltip="Faktura - TDC - Mette - Silvan.jpg" display="f2p://document/73280" xr:uid="{89873F31-B658-4179-BC83-363064D7A416}"/>
    <hyperlink ref="G113" r:id="rId30" tooltip="Faktura - TDC - Martin - Nemlig.pdf" display="f2p://document/73282" xr:uid="{DFF11AD6-5040-4A5E-9046-511EBDBB414C}"/>
    <hyperlink ref="G114" r:id="rId31" tooltip="Faktura - TDC - Christina.pdf" display="f2p://document/73284" xr:uid="{BEB1E79F-9AF7-49EF-8110-B10374E40497}"/>
    <hyperlink ref="G116" r:id="rId32" tooltip="Faktura - TDC - Anders.jpg" display="f2p://document/73290" xr:uid="{953D9D4A-1D28-4382-A94E-F60BD2BF5274}"/>
    <hyperlink ref="G117" r:id="rId33" tooltip="Faktura - TDC - Anders 2.jpg" display="f2p://document/73291" xr:uid="{F142F1D7-E5A9-4DD9-936D-2DA289C4F32D}"/>
  </hyperlinks>
  <pageMargins left="0.7" right="0.7" top="0.75" bottom="0.75" header="0.3" footer="0.3"/>
  <pageSetup paperSize="9" orientation="landscape" r:id="rId34"/>
  <drawing r:id="rId35"/>
  <legacyDrawing r:id="rId3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16975F2-B157-489A-AFAC-4EF2A35E1C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O7:O19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EAD2FD-59D9-47C4-AE25-0AC3B135A48A}">
          <x14:formula1>
            <xm:f>'Drop-down'!$A$2:$A$5</xm:f>
          </x14:formula1>
          <xm:sqref>C211:C213 C59:C65 C50:C52 C181:C189 C196:C203 C73:C79 C87:C134 C169:C173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0C7E-16EB-46FA-953F-9841F07C2E82}">
  <dimension ref="A1:A5"/>
  <sheetViews>
    <sheetView workbookViewId="0">
      <selection activeCell="A5" sqref="A5"/>
    </sheetView>
  </sheetViews>
  <sheetFormatPr defaultRowHeight="15" x14ac:dyDescent="0.25"/>
  <sheetData>
    <row r="1" spans="1:1" s="1" customFormat="1" x14ac:dyDescent="0.25">
      <c r="A1" s="1" t="s">
        <v>31</v>
      </c>
    </row>
    <row r="2" spans="1:1" x14ac:dyDescent="0.25">
      <c r="A2" t="s">
        <v>8</v>
      </c>
    </row>
    <row r="3" spans="1:1" x14ac:dyDescent="0.25">
      <c r="A3" t="s">
        <v>20</v>
      </c>
    </row>
    <row r="4" spans="1:1" x14ac:dyDescent="0.25">
      <c r="A4" t="s">
        <v>7</v>
      </c>
    </row>
    <row r="5" spans="1:1" x14ac:dyDescent="0.25">
      <c r="A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 og regnskab 2023-2024</vt:lpstr>
      <vt:lpstr>Drop-down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Møller Thomsen</dc:creator>
  <cp:lastModifiedBy>Felix Wontorra</cp:lastModifiedBy>
  <cp:lastPrinted>2024-05-23T13:33:17Z</cp:lastPrinted>
  <dcterms:created xsi:type="dcterms:W3CDTF">2021-04-16T12:11:09Z</dcterms:created>
  <dcterms:modified xsi:type="dcterms:W3CDTF">2024-06-17T10:23:05Z</dcterms:modified>
</cp:coreProperties>
</file>